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\Personal\AM\AM Design\Accuminds Design System\site\assets\downloads\"/>
    </mc:Choice>
  </mc:AlternateContent>
  <xr:revisionPtr revIDLastSave="0" documentId="13_ncr:1_{FAB93F04-8AEF-4338-9B22-89CA3D0383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ad me" sheetId="1" r:id="rId1"/>
    <sheet name="Settings" sheetId="2" r:id="rId2"/>
    <sheet name="Actuals" sheetId="3" r:id="rId3"/>
    <sheet name="Budget" sheetId="4" r:id="rId4"/>
    <sheet name="P&amp;L vs Budget" sheetId="5" r:id="rId5"/>
    <sheet name="KPIs" sheetId="6" r:id="rId6"/>
    <sheet name="Cash outlook" sheetId="7" r:id="rId7"/>
    <sheet name="Commentary" sheetId="8" r:id="rId8"/>
  </sheets>
  <definedNames>
    <definedName name="DaysInMonth">Settings!$C$8</definedName>
    <definedName name="MinCash">Settings!$C$9</definedName>
    <definedName name="RepMonth">Settings!$C$5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7" l="1"/>
  <c r="C15" i="7"/>
  <c r="B15" i="7"/>
  <c r="B5" i="7"/>
  <c r="B16" i="7" s="1"/>
  <c r="A1" i="7"/>
  <c r="M13" i="6"/>
  <c r="L13" i="6"/>
  <c r="K13" i="6"/>
  <c r="J13" i="6"/>
  <c r="I13" i="6"/>
  <c r="H13" i="6"/>
  <c r="G13" i="6"/>
  <c r="F13" i="6"/>
  <c r="E13" i="6"/>
  <c r="D13" i="6"/>
  <c r="C13" i="6"/>
  <c r="B13" i="6"/>
  <c r="M11" i="6"/>
  <c r="L11" i="6"/>
  <c r="K11" i="6"/>
  <c r="J11" i="6"/>
  <c r="I11" i="6"/>
  <c r="H11" i="6"/>
  <c r="H12" i="6" s="1"/>
  <c r="G11" i="6"/>
  <c r="G12" i="6" s="1"/>
  <c r="F11" i="6"/>
  <c r="F12" i="6" s="1"/>
  <c r="E11" i="6"/>
  <c r="E12" i="6" s="1"/>
  <c r="D11" i="6"/>
  <c r="D12" i="6" s="1"/>
  <c r="C11" i="6"/>
  <c r="C12" i="6" s="1"/>
  <c r="B11" i="6"/>
  <c r="B12" i="6" s="1"/>
  <c r="M10" i="6"/>
  <c r="M12" i="6" s="1"/>
  <c r="L10" i="6"/>
  <c r="K10" i="6"/>
  <c r="J10" i="6"/>
  <c r="I10" i="6"/>
  <c r="H10" i="6"/>
  <c r="G10" i="6"/>
  <c r="F10" i="6"/>
  <c r="E10" i="6"/>
  <c r="D10" i="6"/>
  <c r="C10" i="6"/>
  <c r="B10" i="6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I8" i="6"/>
  <c r="H8" i="6"/>
  <c r="G8" i="6"/>
  <c r="F8" i="6"/>
  <c r="E8" i="6"/>
  <c r="D8" i="6"/>
  <c r="C8" i="6"/>
  <c r="B8" i="6"/>
  <c r="M7" i="6"/>
  <c r="L7" i="6"/>
  <c r="K7" i="6"/>
  <c r="J7" i="6"/>
  <c r="I7" i="6"/>
  <c r="H7" i="6"/>
  <c r="G7" i="6"/>
  <c r="F7" i="6"/>
  <c r="E7" i="6"/>
  <c r="D7" i="6"/>
  <c r="C7" i="6"/>
  <c r="B7" i="6"/>
  <c r="M6" i="6"/>
  <c r="L6" i="6"/>
  <c r="K6" i="6"/>
  <c r="J6" i="6"/>
  <c r="I6" i="6"/>
  <c r="H6" i="6"/>
  <c r="G6" i="6"/>
  <c r="F6" i="6"/>
  <c r="E6" i="6"/>
  <c r="D6" i="6"/>
  <c r="C6" i="6"/>
  <c r="B6" i="6"/>
  <c r="M5" i="6"/>
  <c r="L5" i="6"/>
  <c r="K5" i="6"/>
  <c r="J5" i="6"/>
  <c r="I5" i="6"/>
  <c r="H5" i="6"/>
  <c r="G5" i="6"/>
  <c r="F5" i="6"/>
  <c r="E5" i="6"/>
  <c r="D5" i="6"/>
  <c r="C5" i="6"/>
  <c r="B5" i="6"/>
  <c r="A1" i="6"/>
  <c r="H32" i="5"/>
  <c r="G32" i="5"/>
  <c r="C32" i="5"/>
  <c r="B32" i="5"/>
  <c r="D32" i="5" s="1"/>
  <c r="H31" i="5"/>
  <c r="G31" i="5"/>
  <c r="I31" i="5" s="1"/>
  <c r="C31" i="5"/>
  <c r="B31" i="5"/>
  <c r="D31" i="5" s="1"/>
  <c r="H30" i="5"/>
  <c r="G30" i="5"/>
  <c r="I30" i="5" s="1"/>
  <c r="C30" i="5"/>
  <c r="B30" i="5"/>
  <c r="D30" i="5" s="1"/>
  <c r="H25" i="5"/>
  <c r="G25" i="5"/>
  <c r="I25" i="5" s="1"/>
  <c r="C25" i="5"/>
  <c r="B25" i="5"/>
  <c r="D25" i="5" s="1"/>
  <c r="H24" i="5"/>
  <c r="G24" i="5"/>
  <c r="I24" i="5" s="1"/>
  <c r="C24" i="5"/>
  <c r="B24" i="5"/>
  <c r="D24" i="5" s="1"/>
  <c r="H23" i="5"/>
  <c r="G23" i="5"/>
  <c r="C23" i="5"/>
  <c r="B23" i="5"/>
  <c r="D23" i="5" s="1"/>
  <c r="H22" i="5"/>
  <c r="J22" i="5" s="1"/>
  <c r="G22" i="5"/>
  <c r="I22" i="5" s="1"/>
  <c r="C22" i="5"/>
  <c r="B22" i="5"/>
  <c r="H21" i="5"/>
  <c r="G21" i="5"/>
  <c r="I21" i="5" s="1"/>
  <c r="C21" i="5"/>
  <c r="B21" i="5"/>
  <c r="D21" i="5" s="1"/>
  <c r="H20" i="5"/>
  <c r="G20" i="5"/>
  <c r="C20" i="5"/>
  <c r="B20" i="5"/>
  <c r="H14" i="5"/>
  <c r="G14" i="5"/>
  <c r="C14" i="5"/>
  <c r="B14" i="5"/>
  <c r="D14" i="5" s="1"/>
  <c r="E14" i="5" s="1"/>
  <c r="H13" i="5"/>
  <c r="G13" i="5"/>
  <c r="I13" i="5" s="1"/>
  <c r="C13" i="5"/>
  <c r="B13" i="5"/>
  <c r="D13" i="5" s="1"/>
  <c r="H12" i="5"/>
  <c r="G12" i="5"/>
  <c r="C12" i="5"/>
  <c r="C15" i="5" s="1"/>
  <c r="B12" i="5"/>
  <c r="H8" i="5"/>
  <c r="G8" i="5"/>
  <c r="C8" i="5"/>
  <c r="B8" i="5"/>
  <c r="D8" i="5" s="1"/>
  <c r="H7" i="5"/>
  <c r="G7" i="5"/>
  <c r="C7" i="5"/>
  <c r="B7" i="5"/>
  <c r="D7" i="5" s="1"/>
  <c r="H6" i="5"/>
  <c r="G6" i="5"/>
  <c r="C6" i="5"/>
  <c r="B6" i="5"/>
  <c r="A1" i="5"/>
  <c r="O23" i="4"/>
  <c r="O22" i="4"/>
  <c r="O21" i="4"/>
  <c r="O19" i="4"/>
  <c r="O18" i="4"/>
  <c r="O17" i="4"/>
  <c r="O16" i="4"/>
  <c r="O15" i="4"/>
  <c r="O14" i="4"/>
  <c r="O12" i="4"/>
  <c r="O11" i="4"/>
  <c r="O10" i="4"/>
  <c r="O8" i="4"/>
  <c r="O7" i="4"/>
  <c r="O6" i="4"/>
  <c r="O23" i="3"/>
  <c r="O22" i="3"/>
  <c r="O21" i="3"/>
  <c r="O19" i="3"/>
  <c r="O18" i="3"/>
  <c r="O17" i="3"/>
  <c r="O16" i="3"/>
  <c r="O15" i="3"/>
  <c r="O14" i="3"/>
  <c r="O12" i="3"/>
  <c r="O11" i="3"/>
  <c r="O10" i="3"/>
  <c r="O8" i="3"/>
  <c r="O7" i="3"/>
  <c r="O6" i="3"/>
  <c r="C6" i="2"/>
  <c r="B2" i="8" s="1"/>
  <c r="D22" i="5" l="1"/>
  <c r="I7" i="5"/>
  <c r="K12" i="6"/>
  <c r="J12" i="6"/>
  <c r="I12" i="6"/>
  <c r="L12" i="6"/>
  <c r="I23" i="5"/>
  <c r="I8" i="5"/>
  <c r="I32" i="5"/>
  <c r="J32" i="5" s="1"/>
  <c r="J21" i="5"/>
  <c r="C26" i="5"/>
  <c r="I14" i="5"/>
  <c r="B17" i="7"/>
  <c r="C5" i="7"/>
  <c r="C16" i="7" s="1"/>
  <c r="H26" i="5"/>
  <c r="G26" i="5"/>
  <c r="I20" i="5"/>
  <c r="J20" i="5" s="1"/>
  <c r="B26" i="5"/>
  <c r="D26" i="5" s="1"/>
  <c r="E26" i="5" s="1"/>
  <c r="D20" i="5"/>
  <c r="E20" i="5" s="1"/>
  <c r="H15" i="5"/>
  <c r="G15" i="5"/>
  <c r="I12" i="5"/>
  <c r="J12" i="5" s="1"/>
  <c r="D12" i="5"/>
  <c r="E12" i="5" s="1"/>
  <c r="B15" i="5"/>
  <c r="D15" i="5" s="1"/>
  <c r="E15" i="5" s="1"/>
  <c r="H9" i="5"/>
  <c r="I6" i="5"/>
  <c r="J6" i="5" s="1"/>
  <c r="G9" i="5"/>
  <c r="C9" i="5"/>
  <c r="B9" i="5"/>
  <c r="D6" i="5"/>
  <c r="E6" i="5" s="1"/>
  <c r="E32" i="5"/>
  <c r="J31" i="5"/>
  <c r="E31" i="5"/>
  <c r="E30" i="5"/>
  <c r="J25" i="5"/>
  <c r="E25" i="5"/>
  <c r="J24" i="5"/>
  <c r="E24" i="5"/>
  <c r="J23" i="5"/>
  <c r="E23" i="5"/>
  <c r="E22" i="5"/>
  <c r="J30" i="5"/>
  <c r="E21" i="5"/>
  <c r="J14" i="5"/>
  <c r="J13" i="5"/>
  <c r="E13" i="5"/>
  <c r="J8" i="5"/>
  <c r="E8" i="5"/>
  <c r="J7" i="5"/>
  <c r="E7" i="5"/>
  <c r="I26" i="5" l="1"/>
  <c r="J26" i="5" s="1"/>
  <c r="I15" i="5"/>
  <c r="J15" i="5" s="1"/>
  <c r="C17" i="7"/>
  <c r="D5" i="7"/>
  <c r="D16" i="7" s="1"/>
  <c r="D17" i="7" s="1"/>
  <c r="J9" i="5"/>
  <c r="H16" i="5"/>
  <c r="H17" i="5" s="1"/>
  <c r="G16" i="5"/>
  <c r="G17" i="5"/>
  <c r="I9" i="5"/>
  <c r="C16" i="5"/>
  <c r="C17" i="5"/>
  <c r="D9" i="5"/>
  <c r="E9" i="5" s="1"/>
  <c r="B16" i="5"/>
  <c r="B17" i="5"/>
  <c r="H27" i="5" l="1"/>
  <c r="I16" i="5"/>
  <c r="J16" i="5" s="1"/>
  <c r="G27" i="5"/>
  <c r="C27" i="5"/>
  <c r="D16" i="5"/>
  <c r="E16" i="5" s="1"/>
  <c r="B27" i="5"/>
  <c r="H33" i="5" l="1"/>
  <c r="I27" i="5"/>
  <c r="J27" i="5" s="1"/>
  <c r="G33" i="5"/>
  <c r="C33" i="5"/>
  <c r="D27" i="5"/>
  <c r="E27" i="5" s="1"/>
  <c r="B33" i="5"/>
  <c r="H34" i="5" l="1"/>
  <c r="G34" i="5"/>
  <c r="I33" i="5"/>
  <c r="J33" i="5" s="1"/>
  <c r="C34" i="5"/>
  <c r="B34" i="5"/>
  <c r="D33" i="5"/>
  <c r="E3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Accuminds</author>
  </authors>
  <commentList>
    <comment ref="C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1 = January … 12 = December. P&amp;L vs Budget and Cash outlook follow this month.</t>
        </r>
      </text>
    </comment>
    <comment ref="C8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Assumption used for receivable, inventory and payable days. Change to 30.4 or actual days if you prefer.</t>
        </r>
      </text>
    </comment>
  </commentList>
</comments>
</file>

<file path=xl/sharedStrings.xml><?xml version="1.0" encoding="utf-8"?>
<sst xmlns="http://schemas.openxmlformats.org/spreadsheetml/2006/main" count="195" uniqueCount="124">
  <si>
    <t>Monthly MIS pack: sample template</t>
  </si>
  <si>
    <t>By Accuminds Consulting FZCO · accumindsconsulting.ae · All figures are fictitious examples.</t>
  </si>
  <si>
    <t>What it answers</t>
  </si>
  <si>
    <t>Are we on budget and why? Which lines drive profit? How healthy are cash and working capital? What needs a decision?</t>
  </si>
  <si>
    <t>1. Settings</t>
  </si>
  <si>
    <t>Enter your company name and pick the reporting month (1 = Jan … 12 = Dec).</t>
  </si>
  <si>
    <t>2. Actuals</t>
  </si>
  <si>
    <t>Enter actual results per month, plus month-end cash, receivables, inventory and payables.</t>
  </si>
  <si>
    <t>3. Budget</t>
  </si>
  <si>
    <t>Enter your monthly budget for the same lines.</t>
  </si>
  <si>
    <t>4. P&amp;L vs Budget</t>
  </si>
  <si>
    <t>Calculated: the month and year-to-date against budget, with variances.</t>
  </si>
  <si>
    <t>5. KPIs</t>
  </si>
  <si>
    <t>Calculated: margins, cost ratios and working-capital days for each month, with charts.</t>
  </si>
  <si>
    <t>6. Cash outlook</t>
  </si>
  <si>
    <t>Enter expected receipts and payments for the next three months to see projected cash.</t>
  </si>
  <si>
    <t>7. Commentary</t>
  </si>
  <si>
    <t>Write what changed, why, and the decisions needed. This is what turns numbers into a management pack.</t>
  </si>
  <si>
    <t>Colour legend</t>
  </si>
  <si>
    <t>Blue text = input you can change. Yellow cell = start here. Black = formula, do not overwrite. Green = linked from another sheet.</t>
  </si>
  <si>
    <t>Need help?</t>
  </si>
  <si>
    <t>We set up MIS packs and dashboards built from your own ledger: accumindsconsulting.ae/services/mis-reporting-dubai/</t>
  </si>
  <si>
    <t>Settings</t>
  </si>
  <si>
    <t>Start here: yellow cells are the inputs this pack needs.</t>
  </si>
  <si>
    <t>Company name</t>
  </si>
  <si>
    <t>Example Trading LLC (fictitious)</t>
  </si>
  <si>
    <t>Reporting month (1-12)</t>
  </si>
  <si>
    <t>Reporting month</t>
  </si>
  <si>
    <t>Financial year</t>
  </si>
  <si>
    <t>2026</t>
  </si>
  <si>
    <t>Days in a month (for KPI days)</t>
  </si>
  <si>
    <t>Minimum cash buffer (AED)</t>
  </si>
  <si>
    <t>Actuals (AED)</t>
  </si>
  <si>
    <t>Blue = input. Replace the fictitious example figures with your own, month by month.</t>
  </si>
  <si>
    <t>Line 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</si>
  <si>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</si>
  <si>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</si>
  <si>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</si>
  <si>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</si>
  <si>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</si>
  <si>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</si>
  <si>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</si>
  <si>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</si>
  <si>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</si>
  <si>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</si>
  <si>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</si>
  <si>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</si>
  <si>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Full year</t>
  </si>
  <si>
    <t>Revenue</t>
  </si>
  <si>
    <t>Product sales</t>
  </si>
  <si>
    <t>Service revenue</t>
  </si>
  <si>
    <t>Other operating income</t>
  </si>
  <si>
    <t>Cost of sales</t>
  </si>
  <si>
    <t>Direct materials and purchases</t>
  </si>
  <si>
    <t>Direct labour</t>
  </si>
  <si>
    <t>Freight and other direct costs</t>
  </si>
  <si>
    <t>Operating expenses</t>
  </si>
  <si>
    <t>Salaries and benefits</t>
  </si>
  <si>
    <t>Rent and utilities</t>
  </si>
  <si>
    <t>Sales and marketing</t>
  </si>
  <si>
    <t>Professional fees</t>
  </si>
  <si>
    <t>IT and software</t>
  </si>
  <si>
    <t>General and administrative</t>
  </si>
  <si>
    <t>Below EBITDA</t>
  </si>
  <si>
    <t>Depreciation and amortisation</t>
  </si>
  <si>
    <t>Finance costs</t>
  </si>
  <si>
    <t>Corporate Tax (estimate)</t>
  </si>
  <si>
    <t>Balance sheet items (month-end)</t>
  </si>
  <si>
    <t>Cash and bank</t>
  </si>
  <si>
    <t>Trade receivables</t>
  </si>
  <si>
    <t>Inventory</t>
  </si>
  <si>
    <t>Trade payables</t>
  </si>
  <si>
    <t>Budget (AED)</t>
  </si>
  <si>
    <t>AED. Variance = actual minus budget; favourable is positive for income and profit, negative for costs.</t>
  </si>
  <si>
    <t>Month actual</t>
  </si>
  <si>
    <t>Month budget</t>
  </si>
  <si>
    <t>Variance</t>
  </si>
  <si>
    <t>Var %</t>
  </si>
  <si>
    <t>YTD actual</t>
  </si>
  <si>
    <t>YTD budget</t>
  </si>
  <si>
    <t>Total revenue</t>
  </si>
  <si>
    <t>Total cost of sales</t>
  </si>
  <si>
    <t>Gross profit</t>
  </si>
  <si>
    <t>Gross margin %</t>
  </si>
  <si>
    <t>Total operating expenses</t>
  </si>
  <si>
    <t>EBITDA</t>
  </si>
  <si>
    <t>Net profit</t>
  </si>
  <si>
    <t>Net margin %</t>
  </si>
  <si>
    <t>Calculated from the Actuals sheet. Days use the 'Days in a month' setting.</t>
  </si>
  <si>
    <t>KPI</t>
  </si>
  <si>
    <t>Revenue (AED)</t>
  </si>
  <si>
    <t>Operating expenses % of revenue</t>
  </si>
  <si>
    <t>EBITDA margin %</t>
  </si>
  <si>
    <t>Receivable days (DSO)</t>
  </si>
  <si>
    <t>Inventory days</t>
  </si>
  <si>
    <t>Payable days (DPO)</t>
  </si>
  <si>
    <t>Cash conversion cycle</t>
  </si>
  <si>
    <t>Month-end cash (AED)</t>
  </si>
  <si>
    <t>AED. Enter expected receipts and payments (blue). Opening cash links to month-end cash in Actuals.</t>
  </si>
  <si>
    <t>Month +1</t>
  </si>
  <si>
    <t>Month +2</t>
  </si>
  <si>
    <t>Month +3</t>
  </si>
  <si>
    <t>Opening cash</t>
  </si>
  <si>
    <t>Receipts from customers</t>
  </si>
  <si>
    <t>Other receipts</t>
  </si>
  <si>
    <t>Payments to suppliers</t>
  </si>
  <si>
    <t>Other operating costs</t>
  </si>
  <si>
    <t>VAT payable to FTA</t>
  </si>
  <si>
    <t>Corporate Tax</t>
  </si>
  <si>
    <t>Loan repayments and finance costs</t>
  </si>
  <si>
    <t>Net cash flow</t>
  </si>
  <si>
    <t>Closing cash</t>
  </si>
  <si>
    <t>Above minimum cash buffer?</t>
  </si>
  <si>
    <t>Headline</t>
  </si>
  <si>
    <t>One or two sentences: how did the month go against budget?</t>
  </si>
  <si>
    <t>What drove the variance: volume, price, mix, timing?</t>
  </si>
  <si>
    <t>Margins and costs</t>
  </si>
  <si>
    <t>Which costs moved and why? Any one-offs?</t>
  </si>
  <si>
    <t>Cash and working capital</t>
  </si>
  <si>
    <t>Receivable, inventory and payable days: any customers or stock to act on?</t>
  </si>
  <si>
    <t>Risks and opportunities</t>
  </si>
  <si>
    <t>What could change the next three months?</t>
  </si>
  <si>
    <t>Decisions needed</t>
  </si>
  <si>
    <t>What do owners or managers need to decide this month?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</si>
</sst>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&quot;-&quot;"/>
    <numFmt numFmtId="165" formatCode="0.0%;\(0.0%\);&quot;-&quot;"/>
    <numFmt numFmtId="166" formatCode="0&quot; days&quot;;\(0&quot; days&quot;\);&quot;-&quot;"/>
  </numFmts>
  <fonts count="13" x14ac:knownFonts="1">
    <font>
      <sz val="11"/>
      <color theme="1"/>
      <name val="Calibri"/>
      <family val="2"/>
      <scheme val="minor"/>
    </font>
    <font>
      <b/>
      <sz val="18"/>
      <color rgb="FF1A2E4A"/>
      <name val="Arial"/>
    </font>
    <font>
      <sz val="10"/>
      <color rgb="FF5B6778"/>
      <name val="Arial"/>
    </font>
    <font>
      <b/>
      <sz val="11"/>
      <color rgb="FF1A2E4A"/>
      <name val="Arial"/>
    </font>
    <font>
      <sz val="11"/>
      <name val="Arial"/>
    </font>
    <font>
      <b/>
      <sz val="16"/>
      <color rgb="FF1A2E4A"/>
      <name val="Arial"/>
    </font>
    <font>
      <sz val="11"/>
      <color rgb="FF0000FF"/>
      <name val="Arial"/>
    </font>
    <font>
      <b/>
      <sz val="11"/>
      <name val="Arial"/>
    </font>
    <font>
      <b/>
      <sz val="11"/>
      <color rgb="FFFFFFFF"/>
      <name val="Arial"/>
    </font>
    <font>
      <sz val="11"/>
      <color rgb="FF008000"/>
      <name val="Arial"/>
    </font>
    <font>
      <i/>
      <sz val="11"/>
      <name val="Arial"/>
    </font>
    <font>
      <i/>
      <sz val="11"/>
      <color rgb="FF0000FF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1A2E4A"/>
      </patternFill>
    </fill>
    <fill>
      <patternFill patternType="solid">
        <fgColor rgb="FFF7F5F1"/>
      </patternFill>
    </fill>
  </fills>
  <borders count="2">
    <border>
      <left/>
      <right/>
      <top/>
      <bottom/>
      <diagonal/>
    </border>
    <border>
      <left/>
      <right/>
      <top style="thin">
        <color rgb="FF1A2E4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2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0" fontId="6" fillId="2" borderId="0" xfId="0" applyFont="1" applyFill="1"/>
    <xf numFmtId="164" fontId="6" fillId="2" borderId="0" xfId="0" applyNumberFormat="1" applyFont="1" applyFill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3" fillId="4" borderId="0" xfId="0" applyFont="1" applyFill="1"/>
    <xf numFmtId="0" fontId="12" fillId="4" borderId="0" xfId="0" applyFont="1" applyFill="1"/>
    <xf numFmtId="0" fontId="4" fillId="0" borderId="0" xfId="0" applyFont="1"/>
    <xf numFmtId="164" fontId="6" fillId="0" borderId="0" xfId="0" applyNumberFormat="1" applyFont="1"/>
    <xf numFmtId="164" fontId="7" fillId="0" borderId="0" xfId="0" applyNumberFormat="1" applyFont="1"/>
    <xf numFmtId="164" fontId="9" fillId="0" borderId="0" xfId="0" applyNumberFormat="1" applyFont="1"/>
    <xf numFmtId="164" fontId="12" fillId="0" borderId="0" xfId="0" applyNumberFormat="1" applyFont="1"/>
    <xf numFmtId="165" fontId="12" fillId="0" borderId="0" xfId="0" applyNumberFormat="1" applyFont="1"/>
    <xf numFmtId="0" fontId="7" fillId="0" borderId="1" xfId="0" applyFont="1" applyBorder="1"/>
    <xf numFmtId="164" fontId="7" fillId="0" borderId="1" xfId="0" applyNumberFormat="1" applyFont="1" applyBorder="1"/>
    <xf numFmtId="165" fontId="7" fillId="0" borderId="1" xfId="0" applyNumberFormat="1" applyFont="1" applyBorder="1"/>
    <xf numFmtId="165" fontId="7" fillId="0" borderId="0" xfId="0" applyNumberFormat="1" applyFont="1"/>
    <xf numFmtId="0" fontId="10" fillId="0" borderId="0" xfId="0" applyFont="1"/>
    <xf numFmtId="165" fontId="10" fillId="0" borderId="0" xfId="0" applyNumberFormat="1" applyFont="1"/>
    <xf numFmtId="166" fontId="12" fillId="0" borderId="0" xfId="0" applyNumberFormat="1" applyFont="1"/>
    <xf numFmtId="0" fontId="11" fillId="2" borderId="0" xfId="0" applyFont="1" applyFill="1" applyAlignment="1">
      <alignment vertical="top" wrapText="1"/>
    </xf>
  </cellXfs>
  <cellStyles count="1">
    <cellStyle name="Normal" xfId="0" builtinId="0"/>
  </cellStyles>
  <dxfs count="29">
    <dxf>
      <font>
        <b/>
        <color rgb="FFC0392B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  <dxf>
      <font>
        <color rgb="FFC0392B"/>
        <name val="Arial"/>
      </font>
    </dxf>
    <dxf>
      <font>
        <color rgb="FF1E8449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Revenue by month (AED)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KPIs!$A$5</c:f>
              <c:strCache>
                <c:ptCount val="1"/>
                <c:pt idx="0">
                  <c:v>Revenue (AED)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KPIs!$B$4:$M$4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KPIs!$B$5:$M$5</c:f>
              <c:numCache>
                <c:formatCode>#,##0;\(#,##0\);"-"</c:formatCode>
                <c:ptCount val="12"/>
                <c:pt idx="0">
                  <c:v>496400</c:v>
                </c:pt>
                <c:pt idx="1">
                  <c:v>495400</c:v>
                </c:pt>
                <c:pt idx="2">
                  <c:v>561300</c:v>
                </c:pt>
                <c:pt idx="3">
                  <c:v>548900</c:v>
                </c:pt>
                <c:pt idx="4">
                  <c:v>562100</c:v>
                </c:pt>
                <c:pt idx="5">
                  <c:v>523300</c:v>
                </c:pt>
                <c:pt idx="6">
                  <c:v>459000</c:v>
                </c:pt>
                <c:pt idx="7">
                  <c:v>485800</c:v>
                </c:pt>
                <c:pt idx="8">
                  <c:v>565300</c:v>
                </c:pt>
                <c:pt idx="9">
                  <c:v>572900</c:v>
                </c:pt>
                <c:pt idx="10">
                  <c:v>593500</c:v>
                </c:pt>
                <c:pt idx="11">
                  <c:v>584100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2-4E09-84D7-35E39B54C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;\(#,##0\);&quot;-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Gross and EBITDA margin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KPIs!$A$6</c:f>
              <c:strCache>
                <c:ptCount val="1"/>
                <c:pt idx="0">
                  <c:v>Gross margin %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KPIs!$B$4:$M$4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KPIs!$B$6:$M$6</c:f>
              <c:numCache>
                <c:formatCode>0.0%;\(0.0%\);"-"</c:formatCode>
                <c:ptCount val="12"/>
                <c:pt idx="0">
                  <c:v>0.47582594681708301</c:v>
                </c:pt>
                <c:pt idx="1">
                  <c:v>0.4444893015744853</c:v>
                </c:pt>
                <c:pt idx="2">
                  <c:v>0.44450383039372887</c:v>
                </c:pt>
                <c:pt idx="3">
                  <c:v>0.47549644744033526</c:v>
                </c:pt>
                <c:pt idx="4">
                  <c:v>0.44422700587084152</c:v>
                </c:pt>
                <c:pt idx="5">
                  <c:v>0.47582648576342446</c:v>
                </c:pt>
                <c:pt idx="6">
                  <c:v>0.44444444444444442</c:v>
                </c:pt>
                <c:pt idx="7">
                  <c:v>0.44462741869081923</c:v>
                </c:pt>
                <c:pt idx="8">
                  <c:v>0.47549973465416595</c:v>
                </c:pt>
                <c:pt idx="9">
                  <c:v>0.44440565543724908</c:v>
                </c:pt>
                <c:pt idx="10">
                  <c:v>0.47598989048020224</c:v>
                </c:pt>
                <c:pt idx="11">
                  <c:v>0.44461564800547848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882-4491-ACC5-5313E1C947E7}"/>
            </c:ext>
          </c:extLst>
        </c:ser>
        <c:ser>
          <c:idx val="1"/>
          <c:order val="1"/>
          <c:tx>
            <c:strRef>
              <c:f>KPIs!$A$8</c:f>
              <c:strCache>
                <c:ptCount val="1"/>
                <c:pt idx="0">
                  <c:v>EBITDA margin %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KPIs!$B$4:$M$4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KPIs!$B$8:$M$8</c:f>
              <c:numCache>
                <c:formatCode>0.0%;\(0.0%\);"-"</c:formatCode>
                <c:ptCount val="12"/>
                <c:pt idx="0">
                  <c:v>0.19883158742949233</c:v>
                </c:pt>
                <c:pt idx="1">
                  <c:v>0.15361324182478805</c:v>
                </c:pt>
                <c:pt idx="2">
                  <c:v>0.17762337430963834</c:v>
                </c:pt>
                <c:pt idx="3">
                  <c:v>0.20568409546365457</c:v>
                </c:pt>
                <c:pt idx="4">
                  <c:v>0.16064757160647572</c:v>
                </c:pt>
                <c:pt idx="5">
                  <c:v>0.20141410280909611</c:v>
                </c:pt>
                <c:pt idx="6">
                  <c:v>0.14967320261437908</c:v>
                </c:pt>
                <c:pt idx="7">
                  <c:v>0.17085220255249073</c:v>
                </c:pt>
                <c:pt idx="8">
                  <c:v>0.20679285335220238</c:v>
                </c:pt>
                <c:pt idx="9">
                  <c:v>0.16180834351544773</c:v>
                </c:pt>
                <c:pt idx="10">
                  <c:v>0.20758213984835722</c:v>
                </c:pt>
                <c:pt idx="11">
                  <c:v>0.16161616161616163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882-4491-ACC5-5313E1C94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0</xdr:rowOff>
    </xdr:from>
    <xdr:ext cx="64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15</xdr:row>
      <xdr:rowOff>0</xdr:rowOff>
    </xdr:from>
    <xdr:ext cx="648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972B"/>
  </sheetPr>
  <dimension ref="A1:C14"/>
  <sheetViews>
    <sheetView showGridLines="0" tabSelected="1" workbookViewId="0"/>
  </sheetViews>
  <sheetFormatPr defaultRowHeight="14.5" x14ac:dyDescent="0.35"/>
  <cols>
    <col min="1" max="1" width="3" customWidth="1"/>
    <col min="2" max="2" width="26" customWidth="1"/>
    <col min="3" max="3" width="90" customWidth="1"/>
  </cols>
  <sheetData>
    <row r="1" spans="1:3" x14ac:dyDescent="0.35">
      <c r="A1" s="1"/>
      <c r="B1" s="1"/>
      <c r="C1" s="1"/>
    </row>
    <row r="2" spans="1:3" ht="23" x14ac:dyDescent="0.5">
      <c r="A2" s="1"/>
      <c r="B2" s="2" t="s">
        <v>0</v>
      </c>
      <c r="C2" s="1"/>
    </row>
    <row r="3" spans="1:3" x14ac:dyDescent="0.35">
      <c r="A3" s="1"/>
      <c r="B3" s="3" t="s">
        <v>1</v>
      </c>
      <c r="C3" s="1"/>
    </row>
    <row r="4" spans="1:3" x14ac:dyDescent="0.35">
      <c r="A4" s="1"/>
      <c r="B4" s="1"/>
      <c r="C4" s="1"/>
    </row>
    <row r="5" spans="1:3" ht="30" customHeight="1" x14ac:dyDescent="0.35">
      <c r="A5" s="1"/>
      <c r="B5" s="4" t="s">
        <v>2</v>
      </c>
      <c r="C5" s="5" t="s">
        <v>3</v>
      </c>
    </row>
    <row r="6" spans="1:3" ht="30" customHeight="1" x14ac:dyDescent="0.35">
      <c r="A6" s="1"/>
      <c r="B6" s="4" t="s">
        <v>4</v>
      </c>
      <c r="C6" s="5" t="s">
        <v>5</v>
      </c>
    </row>
    <row r="7" spans="1:3" ht="30" customHeight="1" x14ac:dyDescent="0.35">
      <c r="A7" s="1"/>
      <c r="B7" s="4" t="s">
        <v>6</v>
      </c>
      <c r="C7" s="5" t="s">
        <v>7</v>
      </c>
    </row>
    <row r="8" spans="1:3" ht="30" customHeight="1" x14ac:dyDescent="0.35">
      <c r="A8" s="1"/>
      <c r="B8" s="4" t="s">
        <v>8</v>
      </c>
      <c r="C8" s="5" t="s">
        <v>9</v>
      </c>
    </row>
    <row r="9" spans="1:3" ht="30" customHeight="1" x14ac:dyDescent="0.35">
      <c r="A9" s="1"/>
      <c r="B9" s="4" t="s">
        <v>10</v>
      </c>
      <c r="C9" s="5" t="s">
        <v>11</v>
      </c>
    </row>
    <row r="10" spans="1:3" ht="30" customHeight="1" x14ac:dyDescent="0.35">
      <c r="A10" s="1"/>
      <c r="B10" s="4" t="s">
        <v>12</v>
      </c>
      <c r="C10" s="5" t="s">
        <v>13</v>
      </c>
    </row>
    <row r="11" spans="1:3" ht="30" customHeight="1" x14ac:dyDescent="0.35">
      <c r="A11" s="1"/>
      <c r="B11" s="4" t="s">
        <v>14</v>
      </c>
      <c r="C11" s="5" t="s">
        <v>15</v>
      </c>
    </row>
    <row r="12" spans="1:3" ht="30" customHeight="1" x14ac:dyDescent="0.35">
      <c r="A12" s="1"/>
      <c r="B12" s="4" t="s">
        <v>16</v>
      </c>
      <c r="C12" s="5" t="s">
        <v>17</v>
      </c>
    </row>
    <row r="13" spans="1:3" ht="30" customHeight="1" x14ac:dyDescent="0.35">
      <c r="A13" s="1"/>
      <c r="B13" s="4" t="s">
        <v>18</v>
      </c>
      <c r="C13" s="5" t="s">
        <v>19</v>
      </c>
    </row>
    <row r="14" spans="1:3" ht="30" customHeight="1" x14ac:dyDescent="0.35">
      <c r="A14" s="1"/>
      <c r="B14" s="4" t="s">
        <v>20</v>
      </c>
      <c r="C14" s="5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972B"/>
  </sheetPr>
  <dimension ref="A1:C9"/>
  <sheetViews>
    <sheetView showGridLines="0" workbookViewId="0"/>
  </sheetViews>
  <sheetFormatPr defaultRowHeight="14.5" x14ac:dyDescent="0.35"/>
  <cols>
    <col min="1" max="1" width="3" customWidth="1"/>
    <col min="2" max="2" width="30" customWidth="1"/>
    <col min="3" max="3" width="32" customWidth="1"/>
  </cols>
  <sheetData>
    <row r="1" spans="1:3" ht="20" x14ac:dyDescent="0.4">
      <c r="A1" s="6" t="s">
        <v>22</v>
      </c>
      <c r="B1" s="1"/>
      <c r="C1" s="1"/>
    </row>
    <row r="2" spans="1:3" x14ac:dyDescent="0.35">
      <c r="A2" s="3" t="s">
        <v>23</v>
      </c>
      <c r="B2" s="1"/>
      <c r="C2" s="1"/>
    </row>
    <row r="3" spans="1:3" x14ac:dyDescent="0.35">
      <c r="A3" s="1"/>
      <c r="B3" s="1"/>
      <c r="C3" s="1"/>
    </row>
    <row r="4" spans="1:3" x14ac:dyDescent="0.35">
      <c r="A4" s="1"/>
      <c r="B4" s="7" t="s">
        <v>24</v>
      </c>
      <c r="C4" s="8" t="s">
        <v>25</v>
      </c>
    </row>
    <row r="5" spans="1:3" x14ac:dyDescent="0.35">
      <c r="A5" s="1"/>
      <c r="B5" s="7" t="s">
        <v>26</v>
      </c>
      <c r="C5" s="8">
        <v>9</v>
      </c>
    </row>
    <row r="6" spans="1:3" x14ac:dyDescent="0.35">
      <c r="A6" s="1"/>
      <c r="B6" s="7" t="s">
        <v>27</v>
      </c>
      <c r="C6" s="1" t="str">
        <f>INDEX({"Jan","Feb","Mar","Apr","May","Jun","Jul","Aug","Sep","Oct","Nov","Dec"},C5)</f>
        <v>Sep</v>
      </c>
    </row>
    <row r="7" spans="1:3" x14ac:dyDescent="0.35">
      <c r="A7" s="1"/>
      <c r="B7" s="7" t="s">
        <v>28</v>
      </c>
      <c r="C7" s="8" t="s">
        <v>29</v>
      </c>
    </row>
    <row r="8" spans="1:3" x14ac:dyDescent="0.35">
      <c r="A8" s="1"/>
      <c r="B8" s="7" t="s">
        <v>30</v>
      </c>
      <c r="C8" s="8">
        <v>30</v>
      </c>
    </row>
    <row r="9" spans="1:3" x14ac:dyDescent="0.35">
      <c r="A9" s="1"/>
      <c r="B9" s="7" t="s">
        <v>31</v>
      </c>
      <c r="C9" s="9">
        <v>250000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2E4A"/>
  </sheetPr>
  <dimension ref="A1:O29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34" customWidth="1"/>
    <col min="2" max="2" width="4" customWidth="1"/>
    <col min="3" max="14" width="11" customWidth="1"/>
    <col min="15" max="15" width="13" customWidth="1"/>
  </cols>
  <sheetData>
    <row r="1" spans="1:15" ht="20" x14ac:dyDescent="0.4">
      <c r="A1" s="6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5">
      <c r="A2" s="3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10" t="s">
        <v>34</v>
      </c>
      <c r="B4" s="11"/>
      <c r="C4" s="11" t="s">
        <v>35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11" t="s">
        <v>42</v>
      </c>
      <c r="K4" s="11" t="s">
        <v>43</v>
      </c>
      <c r="L4" s="11" t="s">
        <v>44</v>
      </c>
      <c r="M4" s="11" t="s">
        <v>45</v>
      </c>
      <c r="N4" s="11" t="s">
        <v>46</v>
      </c>
      <c r="O4" s="11" t="s">
        <v>47</v>
      </c>
    </row>
    <row r="5" spans="1:15" x14ac:dyDescent="0.35">
      <c r="A5" s="12" t="s">
        <v>48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35">
      <c r="A6" s="14" t="s">
        <v>49</v>
      </c>
      <c r="B6" s="1"/>
      <c r="C6" s="15">
        <v>393200</v>
      </c>
      <c r="D6" s="15">
        <v>385000</v>
      </c>
      <c r="E6" s="15">
        <v>436800</v>
      </c>
      <c r="F6" s="15">
        <v>434700</v>
      </c>
      <c r="G6" s="15">
        <v>437400</v>
      </c>
      <c r="H6" s="15">
        <v>414500</v>
      </c>
      <c r="I6" s="15">
        <v>356700</v>
      </c>
      <c r="J6" s="15">
        <v>378000</v>
      </c>
      <c r="K6" s="15">
        <v>447700</v>
      </c>
      <c r="L6" s="15">
        <v>445700</v>
      </c>
      <c r="M6" s="15">
        <v>470100</v>
      </c>
      <c r="N6" s="15">
        <v>453900</v>
      </c>
      <c r="O6" s="16">
        <f>SUM(C6:N6)</f>
        <v>5053700</v>
      </c>
    </row>
    <row r="7" spans="1:15" x14ac:dyDescent="0.35">
      <c r="A7" s="14" t="s">
        <v>50</v>
      </c>
      <c r="B7" s="1"/>
      <c r="C7" s="15">
        <v>97700</v>
      </c>
      <c r="D7" s="15">
        <v>104500</v>
      </c>
      <c r="E7" s="15">
        <v>118400</v>
      </c>
      <c r="F7" s="15">
        <v>108100</v>
      </c>
      <c r="G7" s="15">
        <v>118600</v>
      </c>
      <c r="H7" s="15">
        <v>103000</v>
      </c>
      <c r="I7" s="15">
        <v>96800</v>
      </c>
      <c r="J7" s="15">
        <v>102500</v>
      </c>
      <c r="K7" s="15">
        <v>111300</v>
      </c>
      <c r="L7" s="15">
        <v>120900</v>
      </c>
      <c r="M7" s="15">
        <v>116800</v>
      </c>
      <c r="N7" s="15">
        <v>123200</v>
      </c>
      <c r="O7" s="16">
        <f>SUM(C7:N7)</f>
        <v>1321800</v>
      </c>
    </row>
    <row r="8" spans="1:15" x14ac:dyDescent="0.35">
      <c r="A8" s="14" t="s">
        <v>51</v>
      </c>
      <c r="B8" s="1"/>
      <c r="C8" s="15">
        <v>5500</v>
      </c>
      <c r="D8" s="15">
        <v>5900</v>
      </c>
      <c r="E8" s="15">
        <v>6100</v>
      </c>
      <c r="F8" s="15">
        <v>6100</v>
      </c>
      <c r="G8" s="15">
        <v>6100</v>
      </c>
      <c r="H8" s="15">
        <v>5800</v>
      </c>
      <c r="I8" s="15">
        <v>5500</v>
      </c>
      <c r="J8" s="15">
        <v>5300</v>
      </c>
      <c r="K8" s="15">
        <v>6300</v>
      </c>
      <c r="L8" s="15">
        <v>6300</v>
      </c>
      <c r="M8" s="15">
        <v>6600</v>
      </c>
      <c r="N8" s="15">
        <v>7000</v>
      </c>
      <c r="O8" s="16">
        <f>SUM(C8:N8)</f>
        <v>72500</v>
      </c>
    </row>
    <row r="9" spans="1:15" x14ac:dyDescent="0.35">
      <c r="A9" s="12" t="s">
        <v>52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35">
      <c r="A10" s="14" t="s">
        <v>53</v>
      </c>
      <c r="B10" s="1"/>
      <c r="C10" s="15">
        <v>209500</v>
      </c>
      <c r="D10" s="15">
        <v>224200</v>
      </c>
      <c r="E10" s="15">
        <v>254000</v>
      </c>
      <c r="F10" s="15">
        <v>231900</v>
      </c>
      <c r="G10" s="15">
        <v>254500</v>
      </c>
      <c r="H10" s="15">
        <v>220900</v>
      </c>
      <c r="I10" s="15">
        <v>207700</v>
      </c>
      <c r="J10" s="15">
        <v>219800</v>
      </c>
      <c r="K10" s="15">
        <v>238800</v>
      </c>
      <c r="L10" s="15">
        <v>259300</v>
      </c>
      <c r="M10" s="15">
        <v>250500</v>
      </c>
      <c r="N10" s="15">
        <v>264300</v>
      </c>
      <c r="O10" s="16">
        <f>SUM(C10:N10)</f>
        <v>2835400</v>
      </c>
    </row>
    <row r="11" spans="1:15" x14ac:dyDescent="0.35">
      <c r="A11" s="14" t="s">
        <v>54</v>
      </c>
      <c r="B11" s="1"/>
      <c r="C11" s="15">
        <v>35600</v>
      </c>
      <c r="D11" s="15">
        <v>34800</v>
      </c>
      <c r="E11" s="15">
        <v>39500</v>
      </c>
      <c r="F11" s="15">
        <v>39300</v>
      </c>
      <c r="G11" s="15">
        <v>39600</v>
      </c>
      <c r="H11" s="15">
        <v>37500</v>
      </c>
      <c r="I11" s="15">
        <v>32300</v>
      </c>
      <c r="J11" s="15">
        <v>34200</v>
      </c>
      <c r="K11" s="15">
        <v>40500</v>
      </c>
      <c r="L11" s="15">
        <v>40300</v>
      </c>
      <c r="M11" s="15">
        <v>42500</v>
      </c>
      <c r="N11" s="15">
        <v>41100</v>
      </c>
      <c r="O11" s="16">
        <f>SUM(C11:N11)</f>
        <v>457200</v>
      </c>
    </row>
    <row r="12" spans="1:15" x14ac:dyDescent="0.35">
      <c r="A12" s="14" t="s">
        <v>55</v>
      </c>
      <c r="B12" s="1"/>
      <c r="C12" s="15">
        <v>15100</v>
      </c>
      <c r="D12" s="15">
        <v>16200</v>
      </c>
      <c r="E12" s="15">
        <v>18300</v>
      </c>
      <c r="F12" s="15">
        <v>16700</v>
      </c>
      <c r="G12" s="15">
        <v>18300</v>
      </c>
      <c r="H12" s="15">
        <v>15900</v>
      </c>
      <c r="I12" s="15">
        <v>15000</v>
      </c>
      <c r="J12" s="15">
        <v>15800</v>
      </c>
      <c r="K12" s="15">
        <v>17200</v>
      </c>
      <c r="L12" s="15">
        <v>18700</v>
      </c>
      <c r="M12" s="15">
        <v>18000</v>
      </c>
      <c r="N12" s="15">
        <v>19000</v>
      </c>
      <c r="O12" s="16">
        <f>SUM(C12:N12)</f>
        <v>204200</v>
      </c>
    </row>
    <row r="13" spans="1:15" x14ac:dyDescent="0.35">
      <c r="A13" s="12" t="s">
        <v>56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4" t="s">
        <v>57</v>
      </c>
      <c r="B14" s="1"/>
      <c r="C14" s="15">
        <v>83200</v>
      </c>
      <c r="D14" s="15">
        <v>88900</v>
      </c>
      <c r="E14" s="15">
        <v>92300</v>
      </c>
      <c r="F14" s="15">
        <v>92000</v>
      </c>
      <c r="G14" s="15">
        <v>100900</v>
      </c>
      <c r="H14" s="15">
        <v>87700</v>
      </c>
      <c r="I14" s="15">
        <v>82400</v>
      </c>
      <c r="J14" s="15">
        <v>79900</v>
      </c>
      <c r="K14" s="15">
        <v>94800</v>
      </c>
      <c r="L14" s="15">
        <v>102800</v>
      </c>
      <c r="M14" s="15">
        <v>99400</v>
      </c>
      <c r="N14" s="15">
        <v>104800</v>
      </c>
      <c r="O14" s="16">
        <f t="shared" ref="O14:O19" si="0">SUM(C14:N14)</f>
        <v>1109100</v>
      </c>
    </row>
    <row r="15" spans="1:15" x14ac:dyDescent="0.35">
      <c r="A15" s="14" t="s">
        <v>58</v>
      </c>
      <c r="B15" s="1"/>
      <c r="C15" s="15">
        <v>21000</v>
      </c>
      <c r="D15" s="15">
        <v>21000</v>
      </c>
      <c r="E15" s="15">
        <v>21000</v>
      </c>
      <c r="F15" s="15">
        <v>21000</v>
      </c>
      <c r="G15" s="15">
        <v>21000</v>
      </c>
      <c r="H15" s="15">
        <v>21000</v>
      </c>
      <c r="I15" s="15">
        <v>21000</v>
      </c>
      <c r="J15" s="15">
        <v>21000</v>
      </c>
      <c r="K15" s="15">
        <v>21000</v>
      </c>
      <c r="L15" s="15">
        <v>21000</v>
      </c>
      <c r="M15" s="15">
        <v>21000</v>
      </c>
      <c r="N15" s="15">
        <v>21000</v>
      </c>
      <c r="O15" s="16">
        <f t="shared" si="0"/>
        <v>252000</v>
      </c>
    </row>
    <row r="16" spans="1:15" x14ac:dyDescent="0.35">
      <c r="A16" s="14" t="s">
        <v>59</v>
      </c>
      <c r="B16" s="1"/>
      <c r="C16" s="15">
        <v>13300</v>
      </c>
      <c r="D16" s="15">
        <v>13100</v>
      </c>
      <c r="E16" s="15">
        <v>14800</v>
      </c>
      <c r="F16" s="15">
        <v>13500</v>
      </c>
      <c r="G16" s="15">
        <v>14800</v>
      </c>
      <c r="H16" s="15">
        <v>14100</v>
      </c>
      <c r="I16" s="15">
        <v>12100</v>
      </c>
      <c r="J16" s="15">
        <v>12800</v>
      </c>
      <c r="K16" s="15">
        <v>13900</v>
      </c>
      <c r="L16" s="15">
        <v>15100</v>
      </c>
      <c r="M16" s="15">
        <v>15900</v>
      </c>
      <c r="N16" s="15">
        <v>15400</v>
      </c>
      <c r="O16" s="16">
        <f t="shared" si="0"/>
        <v>168800</v>
      </c>
    </row>
    <row r="17" spans="1:15" x14ac:dyDescent="0.35">
      <c r="A17" s="14" t="s">
        <v>60</v>
      </c>
      <c r="B17" s="1"/>
      <c r="C17" s="15">
        <v>6900</v>
      </c>
      <c r="D17" s="15">
        <v>7400</v>
      </c>
      <c r="E17" s="15">
        <v>7700</v>
      </c>
      <c r="F17" s="15">
        <v>7600</v>
      </c>
      <c r="G17" s="15">
        <v>7700</v>
      </c>
      <c r="H17" s="15">
        <v>7300</v>
      </c>
      <c r="I17" s="15">
        <v>6800</v>
      </c>
      <c r="J17" s="15">
        <v>6600</v>
      </c>
      <c r="K17" s="15">
        <v>7900</v>
      </c>
      <c r="L17" s="15">
        <v>7800</v>
      </c>
      <c r="M17" s="15">
        <v>8200</v>
      </c>
      <c r="N17" s="15">
        <v>8700</v>
      </c>
      <c r="O17" s="16">
        <f t="shared" si="0"/>
        <v>90600</v>
      </c>
    </row>
    <row r="18" spans="1:15" x14ac:dyDescent="0.35">
      <c r="A18" s="14" t="s">
        <v>61</v>
      </c>
      <c r="B18" s="1"/>
      <c r="C18" s="15">
        <v>4200</v>
      </c>
      <c r="D18" s="15">
        <v>4200</v>
      </c>
      <c r="E18" s="15">
        <v>4200</v>
      </c>
      <c r="F18" s="15">
        <v>4200</v>
      </c>
      <c r="G18" s="15">
        <v>4200</v>
      </c>
      <c r="H18" s="15">
        <v>4200</v>
      </c>
      <c r="I18" s="15">
        <v>4200</v>
      </c>
      <c r="J18" s="15">
        <v>4200</v>
      </c>
      <c r="K18" s="15">
        <v>4200</v>
      </c>
      <c r="L18" s="15">
        <v>4200</v>
      </c>
      <c r="M18" s="15">
        <v>4200</v>
      </c>
      <c r="N18" s="15">
        <v>4200</v>
      </c>
      <c r="O18" s="16">
        <f t="shared" si="0"/>
        <v>50400</v>
      </c>
    </row>
    <row r="19" spans="1:15" x14ac:dyDescent="0.35">
      <c r="A19" s="14" t="s">
        <v>62</v>
      </c>
      <c r="B19" s="1"/>
      <c r="C19" s="15">
        <v>8900</v>
      </c>
      <c r="D19" s="15">
        <v>9500</v>
      </c>
      <c r="E19" s="15">
        <v>9800</v>
      </c>
      <c r="F19" s="15">
        <v>9800</v>
      </c>
      <c r="G19" s="15">
        <v>10800</v>
      </c>
      <c r="H19" s="15">
        <v>9300</v>
      </c>
      <c r="I19" s="15">
        <v>8800</v>
      </c>
      <c r="J19" s="15">
        <v>8500</v>
      </c>
      <c r="K19" s="15">
        <v>10100</v>
      </c>
      <c r="L19" s="15">
        <v>11000</v>
      </c>
      <c r="M19" s="15">
        <v>10600</v>
      </c>
      <c r="N19" s="15">
        <v>11200</v>
      </c>
      <c r="O19" s="16">
        <f t="shared" si="0"/>
        <v>118300</v>
      </c>
    </row>
    <row r="20" spans="1:15" x14ac:dyDescent="0.35">
      <c r="A20" s="12" t="s">
        <v>63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35">
      <c r="A21" s="14" t="s">
        <v>64</v>
      </c>
      <c r="B21" s="1"/>
      <c r="C21" s="15">
        <v>8500</v>
      </c>
      <c r="D21" s="15">
        <v>8500</v>
      </c>
      <c r="E21" s="15">
        <v>8500</v>
      </c>
      <c r="F21" s="15">
        <v>8500</v>
      </c>
      <c r="G21" s="15">
        <v>8500</v>
      </c>
      <c r="H21" s="15">
        <v>8500</v>
      </c>
      <c r="I21" s="15">
        <v>8500</v>
      </c>
      <c r="J21" s="15">
        <v>8500</v>
      </c>
      <c r="K21" s="15">
        <v>8500</v>
      </c>
      <c r="L21" s="15">
        <v>8500</v>
      </c>
      <c r="M21" s="15">
        <v>8500</v>
      </c>
      <c r="N21" s="15">
        <v>8500</v>
      </c>
      <c r="O21" s="16">
        <f>SUM(C21:N21)</f>
        <v>102000</v>
      </c>
    </row>
    <row r="22" spans="1:15" x14ac:dyDescent="0.35">
      <c r="A22" s="14" t="s">
        <v>65</v>
      </c>
      <c r="B22" s="1"/>
      <c r="C22" s="15">
        <v>3100</v>
      </c>
      <c r="D22" s="15">
        <v>3100</v>
      </c>
      <c r="E22" s="15">
        <v>3100</v>
      </c>
      <c r="F22" s="15">
        <v>3100</v>
      </c>
      <c r="G22" s="15">
        <v>3100</v>
      </c>
      <c r="H22" s="15">
        <v>3100</v>
      </c>
      <c r="I22" s="15">
        <v>3100</v>
      </c>
      <c r="J22" s="15">
        <v>3100</v>
      </c>
      <c r="K22" s="15">
        <v>3100</v>
      </c>
      <c r="L22" s="15">
        <v>3100</v>
      </c>
      <c r="M22" s="15">
        <v>3100</v>
      </c>
      <c r="N22" s="15">
        <v>3100</v>
      </c>
      <c r="O22" s="16">
        <f>SUM(C22:N22)</f>
        <v>37200</v>
      </c>
    </row>
    <row r="23" spans="1:15" x14ac:dyDescent="0.35">
      <c r="A23" s="14" t="s">
        <v>66</v>
      </c>
      <c r="B23" s="1"/>
      <c r="C23" s="15">
        <v>6500</v>
      </c>
      <c r="D23" s="15">
        <v>6300</v>
      </c>
      <c r="E23" s="15">
        <v>7200</v>
      </c>
      <c r="F23" s="15">
        <v>6600</v>
      </c>
      <c r="G23" s="15">
        <v>7200</v>
      </c>
      <c r="H23" s="15">
        <v>6800</v>
      </c>
      <c r="I23" s="15">
        <v>5900</v>
      </c>
      <c r="J23" s="15">
        <v>6200</v>
      </c>
      <c r="K23" s="15">
        <v>6800</v>
      </c>
      <c r="L23" s="15">
        <v>7300</v>
      </c>
      <c r="M23" s="15">
        <v>7700</v>
      </c>
      <c r="N23" s="15">
        <v>7500</v>
      </c>
      <c r="O23" s="16">
        <f>SUM(C23:N23)</f>
        <v>82000</v>
      </c>
    </row>
    <row r="24" spans="1:1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5">
      <c r="A25" s="12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35">
      <c r="A26" s="14" t="s">
        <v>68</v>
      </c>
      <c r="B26" s="1"/>
      <c r="C26" s="15">
        <v>562000</v>
      </c>
      <c r="D26" s="15">
        <v>581000</v>
      </c>
      <c r="E26" s="15">
        <v>600000</v>
      </c>
      <c r="F26" s="15">
        <v>583000</v>
      </c>
      <c r="G26" s="15">
        <v>603000</v>
      </c>
      <c r="H26" s="15">
        <v>622000</v>
      </c>
      <c r="I26" s="15">
        <v>605000</v>
      </c>
      <c r="J26" s="15">
        <v>625000</v>
      </c>
      <c r="K26" s="15">
        <v>645000</v>
      </c>
      <c r="L26" s="15">
        <v>626000</v>
      </c>
      <c r="M26" s="15">
        <v>647000</v>
      </c>
      <c r="N26" s="15">
        <v>667000</v>
      </c>
      <c r="O26" s="1"/>
    </row>
    <row r="27" spans="1:15" x14ac:dyDescent="0.35">
      <c r="A27" s="14" t="s">
        <v>69</v>
      </c>
      <c r="B27" s="1"/>
      <c r="C27" s="15">
        <v>419000</v>
      </c>
      <c r="D27" s="15">
        <v>433000</v>
      </c>
      <c r="E27" s="15">
        <v>447000</v>
      </c>
      <c r="F27" s="15">
        <v>435000</v>
      </c>
      <c r="G27" s="15">
        <v>450000</v>
      </c>
      <c r="H27" s="15">
        <v>464000</v>
      </c>
      <c r="I27" s="15">
        <v>451000</v>
      </c>
      <c r="J27" s="15">
        <v>466000</v>
      </c>
      <c r="K27" s="15">
        <v>481000</v>
      </c>
      <c r="L27" s="15">
        <v>467000</v>
      </c>
      <c r="M27" s="15">
        <v>482000</v>
      </c>
      <c r="N27" s="15">
        <v>498000</v>
      </c>
      <c r="O27" s="1"/>
    </row>
    <row r="28" spans="1:15" x14ac:dyDescent="0.35">
      <c r="A28" s="14" t="s">
        <v>70</v>
      </c>
      <c r="B28" s="1"/>
      <c r="C28" s="15">
        <v>276000</v>
      </c>
      <c r="D28" s="15">
        <v>286000</v>
      </c>
      <c r="E28" s="15">
        <v>295000</v>
      </c>
      <c r="F28" s="15">
        <v>287000</v>
      </c>
      <c r="G28" s="15">
        <v>296000</v>
      </c>
      <c r="H28" s="15">
        <v>306000</v>
      </c>
      <c r="I28" s="15">
        <v>298000</v>
      </c>
      <c r="J28" s="15">
        <v>307000</v>
      </c>
      <c r="K28" s="15">
        <v>317000</v>
      </c>
      <c r="L28" s="15">
        <v>308000</v>
      </c>
      <c r="M28" s="15">
        <v>318000</v>
      </c>
      <c r="N28" s="15">
        <v>328000</v>
      </c>
      <c r="O28" s="1"/>
    </row>
    <row r="29" spans="1:15" x14ac:dyDescent="0.35">
      <c r="A29" s="14" t="s">
        <v>71</v>
      </c>
      <c r="B29" s="1"/>
      <c r="C29" s="15">
        <v>193000</v>
      </c>
      <c r="D29" s="15">
        <v>200000</v>
      </c>
      <c r="E29" s="15">
        <v>206000</v>
      </c>
      <c r="F29" s="15">
        <v>201000</v>
      </c>
      <c r="G29" s="15">
        <v>207000</v>
      </c>
      <c r="H29" s="15">
        <v>214000</v>
      </c>
      <c r="I29" s="15">
        <v>208000</v>
      </c>
      <c r="J29" s="15">
        <v>215000</v>
      </c>
      <c r="K29" s="15">
        <v>222000</v>
      </c>
      <c r="L29" s="15">
        <v>216000</v>
      </c>
      <c r="M29" s="15">
        <v>223000</v>
      </c>
      <c r="N29" s="15">
        <v>230000</v>
      </c>
      <c r="O29" s="1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2E4A"/>
  </sheetPr>
  <dimension ref="A1:O23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34" customWidth="1"/>
    <col min="2" max="2" width="4" customWidth="1"/>
    <col min="3" max="14" width="11" customWidth="1"/>
    <col min="15" max="15" width="13" customWidth="1"/>
  </cols>
  <sheetData>
    <row r="1" spans="1:15" ht="20" x14ac:dyDescent="0.4">
      <c r="A1" s="6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5">
      <c r="A2" s="3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10" t="s">
        <v>34</v>
      </c>
      <c r="B4" s="11"/>
      <c r="C4" s="11" t="s">
        <v>35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41</v>
      </c>
      <c r="J4" s="11" t="s">
        <v>42</v>
      </c>
      <c r="K4" s="11" t="s">
        <v>43</v>
      </c>
      <c r="L4" s="11" t="s">
        <v>44</v>
      </c>
      <c r="M4" s="11" t="s">
        <v>45</v>
      </c>
      <c r="N4" s="11" t="s">
        <v>46</v>
      </c>
      <c r="O4" s="11" t="s">
        <v>47</v>
      </c>
    </row>
    <row r="5" spans="1:15" x14ac:dyDescent="0.35">
      <c r="A5" s="12" t="s">
        <v>48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35">
      <c r="A6" s="14" t="s">
        <v>49</v>
      </c>
      <c r="B6" s="1"/>
      <c r="C6" s="15">
        <v>407400</v>
      </c>
      <c r="D6" s="15">
        <v>411600</v>
      </c>
      <c r="E6" s="15">
        <v>415800</v>
      </c>
      <c r="F6" s="15">
        <v>420000</v>
      </c>
      <c r="G6" s="15">
        <v>424200</v>
      </c>
      <c r="H6" s="15">
        <v>428400</v>
      </c>
      <c r="I6" s="15">
        <v>432600</v>
      </c>
      <c r="J6" s="15">
        <v>436800</v>
      </c>
      <c r="K6" s="15">
        <v>441000</v>
      </c>
      <c r="L6" s="15">
        <v>445200</v>
      </c>
      <c r="M6" s="15">
        <v>449400</v>
      </c>
      <c r="N6" s="15">
        <v>453600</v>
      </c>
      <c r="O6" s="16">
        <f>SUM(C6:N6)</f>
        <v>5166000</v>
      </c>
    </row>
    <row r="7" spans="1:15" x14ac:dyDescent="0.35">
      <c r="A7" s="14" t="s">
        <v>50</v>
      </c>
      <c r="B7" s="1"/>
      <c r="C7" s="15">
        <v>106700</v>
      </c>
      <c r="D7" s="15">
        <v>107800</v>
      </c>
      <c r="E7" s="15">
        <v>108900</v>
      </c>
      <c r="F7" s="15">
        <v>110000</v>
      </c>
      <c r="G7" s="15">
        <v>111100</v>
      </c>
      <c r="H7" s="15">
        <v>112200</v>
      </c>
      <c r="I7" s="15">
        <v>113300</v>
      </c>
      <c r="J7" s="15">
        <v>114400</v>
      </c>
      <c r="K7" s="15">
        <v>115500</v>
      </c>
      <c r="L7" s="15">
        <v>116600</v>
      </c>
      <c r="M7" s="15">
        <v>117700</v>
      </c>
      <c r="N7" s="15">
        <v>118800</v>
      </c>
      <c r="O7" s="16">
        <f>SUM(C7:N7)</f>
        <v>1353000</v>
      </c>
    </row>
    <row r="8" spans="1:15" x14ac:dyDescent="0.35">
      <c r="A8" s="14" t="s">
        <v>51</v>
      </c>
      <c r="B8" s="1"/>
      <c r="C8" s="15">
        <v>5800</v>
      </c>
      <c r="D8" s="15">
        <v>5900</v>
      </c>
      <c r="E8" s="15">
        <v>5900</v>
      </c>
      <c r="F8" s="15">
        <v>6000</v>
      </c>
      <c r="G8" s="15">
        <v>6100</v>
      </c>
      <c r="H8" s="15">
        <v>6100</v>
      </c>
      <c r="I8" s="15">
        <v>6200</v>
      </c>
      <c r="J8" s="15">
        <v>6200</v>
      </c>
      <c r="K8" s="15">
        <v>6300</v>
      </c>
      <c r="L8" s="15">
        <v>6400</v>
      </c>
      <c r="M8" s="15">
        <v>6400</v>
      </c>
      <c r="N8" s="15">
        <v>6500</v>
      </c>
      <c r="O8" s="16">
        <f>SUM(C8:N8)</f>
        <v>73800</v>
      </c>
    </row>
    <row r="9" spans="1:15" x14ac:dyDescent="0.35">
      <c r="A9" s="12" t="s">
        <v>52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35">
      <c r="A10" s="14" t="s">
        <v>53</v>
      </c>
      <c r="B10" s="1"/>
      <c r="C10" s="15">
        <v>228900</v>
      </c>
      <c r="D10" s="15">
        <v>231300</v>
      </c>
      <c r="E10" s="15">
        <v>233600</v>
      </c>
      <c r="F10" s="15">
        <v>236000</v>
      </c>
      <c r="G10" s="15">
        <v>238400</v>
      </c>
      <c r="H10" s="15">
        <v>240700</v>
      </c>
      <c r="I10" s="15">
        <v>243100</v>
      </c>
      <c r="J10" s="15">
        <v>245400</v>
      </c>
      <c r="K10" s="15">
        <v>247800</v>
      </c>
      <c r="L10" s="15">
        <v>250200</v>
      </c>
      <c r="M10" s="15">
        <v>252500</v>
      </c>
      <c r="N10" s="15">
        <v>254900</v>
      </c>
      <c r="O10" s="16">
        <f>SUM(C10:N10)</f>
        <v>2902800</v>
      </c>
    </row>
    <row r="11" spans="1:15" x14ac:dyDescent="0.35">
      <c r="A11" s="14" t="s">
        <v>54</v>
      </c>
      <c r="B11" s="1"/>
      <c r="C11" s="15">
        <v>36900</v>
      </c>
      <c r="D11" s="15">
        <v>37200</v>
      </c>
      <c r="E11" s="15">
        <v>37600</v>
      </c>
      <c r="F11" s="15">
        <v>38000</v>
      </c>
      <c r="G11" s="15">
        <v>38400</v>
      </c>
      <c r="H11" s="15">
        <v>38800</v>
      </c>
      <c r="I11" s="15">
        <v>39100</v>
      </c>
      <c r="J11" s="15">
        <v>39500</v>
      </c>
      <c r="K11" s="15">
        <v>39900</v>
      </c>
      <c r="L11" s="15">
        <v>40300</v>
      </c>
      <c r="M11" s="15">
        <v>40700</v>
      </c>
      <c r="N11" s="15">
        <v>41000</v>
      </c>
      <c r="O11" s="16">
        <f>SUM(C11:N11)</f>
        <v>467400</v>
      </c>
    </row>
    <row r="12" spans="1:15" x14ac:dyDescent="0.35">
      <c r="A12" s="14" t="s">
        <v>55</v>
      </c>
      <c r="B12" s="1"/>
      <c r="C12" s="15">
        <v>16500</v>
      </c>
      <c r="D12" s="15">
        <v>16700</v>
      </c>
      <c r="E12" s="15">
        <v>16800</v>
      </c>
      <c r="F12" s="15">
        <v>17000</v>
      </c>
      <c r="G12" s="15">
        <v>17200</v>
      </c>
      <c r="H12" s="15">
        <v>17300</v>
      </c>
      <c r="I12" s="15">
        <v>17500</v>
      </c>
      <c r="J12" s="15">
        <v>17700</v>
      </c>
      <c r="K12" s="15">
        <v>17800</v>
      </c>
      <c r="L12" s="15">
        <v>18000</v>
      </c>
      <c r="M12" s="15">
        <v>18200</v>
      </c>
      <c r="N12" s="15">
        <v>18400</v>
      </c>
      <c r="O12" s="16">
        <f>SUM(C12:N12)</f>
        <v>209100</v>
      </c>
    </row>
    <row r="13" spans="1:15" x14ac:dyDescent="0.35">
      <c r="A13" s="12" t="s">
        <v>56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4" t="s">
        <v>57</v>
      </c>
      <c r="B14" s="1"/>
      <c r="C14" s="15">
        <v>89200</v>
      </c>
      <c r="D14" s="15">
        <v>90200</v>
      </c>
      <c r="E14" s="15">
        <v>91100</v>
      </c>
      <c r="F14" s="15">
        <v>92000</v>
      </c>
      <c r="G14" s="15">
        <v>92900</v>
      </c>
      <c r="H14" s="15">
        <v>93800</v>
      </c>
      <c r="I14" s="15">
        <v>94800</v>
      </c>
      <c r="J14" s="15">
        <v>95700</v>
      </c>
      <c r="K14" s="15">
        <v>96600</v>
      </c>
      <c r="L14" s="15">
        <v>97500</v>
      </c>
      <c r="M14" s="15">
        <v>98400</v>
      </c>
      <c r="N14" s="15">
        <v>99400</v>
      </c>
      <c r="O14" s="16">
        <f t="shared" ref="O14:O19" si="0">SUM(C14:N14)</f>
        <v>1131600</v>
      </c>
    </row>
    <row r="15" spans="1:15" x14ac:dyDescent="0.35">
      <c r="A15" s="14" t="s">
        <v>58</v>
      </c>
      <c r="B15" s="1"/>
      <c r="C15" s="15">
        <v>21000</v>
      </c>
      <c r="D15" s="15">
        <v>21000</v>
      </c>
      <c r="E15" s="15">
        <v>21000</v>
      </c>
      <c r="F15" s="15">
        <v>21000</v>
      </c>
      <c r="G15" s="15">
        <v>21000</v>
      </c>
      <c r="H15" s="15">
        <v>21000</v>
      </c>
      <c r="I15" s="15">
        <v>21000</v>
      </c>
      <c r="J15" s="15">
        <v>21000</v>
      </c>
      <c r="K15" s="15">
        <v>21000</v>
      </c>
      <c r="L15" s="15">
        <v>21000</v>
      </c>
      <c r="M15" s="15">
        <v>21000</v>
      </c>
      <c r="N15" s="15">
        <v>21000</v>
      </c>
      <c r="O15" s="16">
        <f t="shared" si="0"/>
        <v>252000</v>
      </c>
    </row>
    <row r="16" spans="1:15" x14ac:dyDescent="0.35">
      <c r="A16" s="14" t="s">
        <v>59</v>
      </c>
      <c r="B16" s="1"/>
      <c r="C16" s="15">
        <v>13600</v>
      </c>
      <c r="D16" s="15">
        <v>13700</v>
      </c>
      <c r="E16" s="15">
        <v>13900</v>
      </c>
      <c r="F16" s="15">
        <v>14000</v>
      </c>
      <c r="G16" s="15">
        <v>14100</v>
      </c>
      <c r="H16" s="15">
        <v>14300</v>
      </c>
      <c r="I16" s="15">
        <v>14400</v>
      </c>
      <c r="J16" s="15">
        <v>14600</v>
      </c>
      <c r="K16" s="15">
        <v>14700</v>
      </c>
      <c r="L16" s="15">
        <v>14800</v>
      </c>
      <c r="M16" s="15">
        <v>15000</v>
      </c>
      <c r="N16" s="15">
        <v>15100</v>
      </c>
      <c r="O16" s="16">
        <f t="shared" si="0"/>
        <v>172200</v>
      </c>
    </row>
    <row r="17" spans="1:15" x14ac:dyDescent="0.35">
      <c r="A17" s="14" t="s">
        <v>60</v>
      </c>
      <c r="B17" s="1"/>
      <c r="C17" s="15">
        <v>7300</v>
      </c>
      <c r="D17" s="15">
        <v>7400</v>
      </c>
      <c r="E17" s="15">
        <v>7400</v>
      </c>
      <c r="F17" s="15">
        <v>7500</v>
      </c>
      <c r="G17" s="15">
        <v>7600</v>
      </c>
      <c r="H17" s="15">
        <v>7600</v>
      </c>
      <c r="I17" s="15">
        <v>7700</v>
      </c>
      <c r="J17" s="15">
        <v>7800</v>
      </c>
      <c r="K17" s="15">
        <v>7900</v>
      </c>
      <c r="L17" s="15">
        <v>8000</v>
      </c>
      <c r="M17" s="15">
        <v>8000</v>
      </c>
      <c r="N17" s="15">
        <v>8100</v>
      </c>
      <c r="O17" s="16">
        <f t="shared" si="0"/>
        <v>92300</v>
      </c>
    </row>
    <row r="18" spans="1:15" x14ac:dyDescent="0.35">
      <c r="A18" s="14" t="s">
        <v>61</v>
      </c>
      <c r="B18" s="1"/>
      <c r="C18" s="15">
        <v>4200</v>
      </c>
      <c r="D18" s="15">
        <v>4200</v>
      </c>
      <c r="E18" s="15">
        <v>4200</v>
      </c>
      <c r="F18" s="15">
        <v>4200</v>
      </c>
      <c r="G18" s="15">
        <v>4200</v>
      </c>
      <c r="H18" s="15">
        <v>4200</v>
      </c>
      <c r="I18" s="15">
        <v>4200</v>
      </c>
      <c r="J18" s="15">
        <v>4200</v>
      </c>
      <c r="K18" s="15">
        <v>4200</v>
      </c>
      <c r="L18" s="15">
        <v>4200</v>
      </c>
      <c r="M18" s="15">
        <v>4200</v>
      </c>
      <c r="N18" s="15">
        <v>4200</v>
      </c>
      <c r="O18" s="16">
        <f t="shared" si="0"/>
        <v>50400</v>
      </c>
    </row>
    <row r="19" spans="1:15" x14ac:dyDescent="0.35">
      <c r="A19" s="14" t="s">
        <v>62</v>
      </c>
      <c r="B19" s="1"/>
      <c r="C19" s="15">
        <v>9500</v>
      </c>
      <c r="D19" s="15">
        <v>9600</v>
      </c>
      <c r="E19" s="15">
        <v>9700</v>
      </c>
      <c r="F19" s="15">
        <v>9800</v>
      </c>
      <c r="G19" s="15">
        <v>9900</v>
      </c>
      <c r="H19" s="15">
        <v>10000</v>
      </c>
      <c r="I19" s="15">
        <v>10100</v>
      </c>
      <c r="J19" s="15">
        <v>10200</v>
      </c>
      <c r="K19" s="15">
        <v>10300</v>
      </c>
      <c r="L19" s="15">
        <v>10400</v>
      </c>
      <c r="M19" s="15">
        <v>10500</v>
      </c>
      <c r="N19" s="15">
        <v>10600</v>
      </c>
      <c r="O19" s="16">
        <f t="shared" si="0"/>
        <v>120600</v>
      </c>
    </row>
    <row r="20" spans="1:15" x14ac:dyDescent="0.35">
      <c r="A20" s="12" t="s">
        <v>63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35">
      <c r="A21" s="14" t="s">
        <v>64</v>
      </c>
      <c r="B21" s="1"/>
      <c r="C21" s="15">
        <v>8500</v>
      </c>
      <c r="D21" s="15">
        <v>8500</v>
      </c>
      <c r="E21" s="15">
        <v>8500</v>
      </c>
      <c r="F21" s="15">
        <v>8500</v>
      </c>
      <c r="G21" s="15">
        <v>8500</v>
      </c>
      <c r="H21" s="15">
        <v>8500</v>
      </c>
      <c r="I21" s="15">
        <v>8500</v>
      </c>
      <c r="J21" s="15">
        <v>8500</v>
      </c>
      <c r="K21" s="15">
        <v>8500</v>
      </c>
      <c r="L21" s="15">
        <v>8500</v>
      </c>
      <c r="M21" s="15">
        <v>8500</v>
      </c>
      <c r="N21" s="15">
        <v>8500</v>
      </c>
      <c r="O21" s="16">
        <f>SUM(C21:N21)</f>
        <v>102000</v>
      </c>
    </row>
    <row r="22" spans="1:15" x14ac:dyDescent="0.35">
      <c r="A22" s="14" t="s">
        <v>65</v>
      </c>
      <c r="B22" s="1"/>
      <c r="C22" s="15">
        <v>3100</v>
      </c>
      <c r="D22" s="15">
        <v>3100</v>
      </c>
      <c r="E22" s="15">
        <v>3100</v>
      </c>
      <c r="F22" s="15">
        <v>3100</v>
      </c>
      <c r="G22" s="15">
        <v>3100</v>
      </c>
      <c r="H22" s="15">
        <v>3100</v>
      </c>
      <c r="I22" s="15">
        <v>3100</v>
      </c>
      <c r="J22" s="15">
        <v>3100</v>
      </c>
      <c r="K22" s="15">
        <v>3100</v>
      </c>
      <c r="L22" s="15">
        <v>3100</v>
      </c>
      <c r="M22" s="15">
        <v>3100</v>
      </c>
      <c r="N22" s="15">
        <v>3100</v>
      </c>
      <c r="O22" s="16">
        <f>SUM(C22:N22)</f>
        <v>37200</v>
      </c>
    </row>
    <row r="23" spans="1:15" x14ac:dyDescent="0.35">
      <c r="A23" s="14" t="s">
        <v>66</v>
      </c>
      <c r="B23" s="1"/>
      <c r="C23" s="15">
        <v>6600</v>
      </c>
      <c r="D23" s="15">
        <v>6700</v>
      </c>
      <c r="E23" s="15">
        <v>6700</v>
      </c>
      <c r="F23" s="15">
        <v>6800</v>
      </c>
      <c r="G23" s="15">
        <v>6900</v>
      </c>
      <c r="H23" s="15">
        <v>6900</v>
      </c>
      <c r="I23" s="15">
        <v>7000</v>
      </c>
      <c r="J23" s="15">
        <v>7100</v>
      </c>
      <c r="K23" s="15">
        <v>7100</v>
      </c>
      <c r="L23" s="15">
        <v>7200</v>
      </c>
      <c r="M23" s="15">
        <v>7300</v>
      </c>
      <c r="N23" s="15">
        <v>7300</v>
      </c>
      <c r="O23" s="16">
        <f>SUM(C23:N23)</f>
        <v>83600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A2E4A"/>
  </sheetPr>
  <dimension ref="A1:J3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34" customWidth="1"/>
    <col min="2" max="4" width="13" customWidth="1"/>
    <col min="5" max="5" width="10" customWidth="1"/>
    <col min="6" max="6" width="3" customWidth="1"/>
    <col min="7" max="9" width="13" customWidth="1"/>
    <col min="10" max="10" width="10" customWidth="1"/>
  </cols>
  <sheetData>
    <row r="1" spans="1:10" ht="20" x14ac:dyDescent="0.4">
      <c r="A1" s="6" t="str">
        <f>Settings!C4&amp;": P&amp;L vs budget, "&amp;Settings!C6&amp;" "&amp;Settings!C7</f>
        <v>Example Trading LLC (fictitious): P&amp;L vs budget, Sep 2026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3" t="s">
        <v>73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5">
      <c r="A4" s="10"/>
      <c r="B4" s="11" t="s">
        <v>74</v>
      </c>
      <c r="C4" s="11" t="s">
        <v>75</v>
      </c>
      <c r="D4" s="11" t="s">
        <v>76</v>
      </c>
      <c r="E4" s="11" t="s">
        <v>77</v>
      </c>
      <c r="F4" s="11"/>
      <c r="G4" s="11" t="s">
        <v>78</v>
      </c>
      <c r="H4" s="11" t="s">
        <v>79</v>
      </c>
      <c r="I4" s="11" t="s">
        <v>76</v>
      </c>
      <c r="J4" s="11" t="s">
        <v>77</v>
      </c>
    </row>
    <row r="5" spans="1:10" x14ac:dyDescent="0.35">
      <c r="A5" s="12" t="s">
        <v>48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5">
      <c r="A6" s="14" t="s">
        <v>49</v>
      </c>
      <c r="B6" s="17">
        <f>INDEX(Actuals!$C$6:$N$6,RepMonth)</f>
        <v>447700</v>
      </c>
      <c r="C6" s="17">
        <f>INDEX(Budget!$C$6:$N$6,RepMonth)</f>
        <v>441000</v>
      </c>
      <c r="D6" s="18">
        <f>B6-C6</f>
        <v>6700</v>
      </c>
      <c r="E6" s="19">
        <f>IF(C6=0,"",D6/ABS(C6))</f>
        <v>1.5192743764172336E-2</v>
      </c>
      <c r="F6" s="1"/>
      <c r="G6" s="17">
        <f>SUMPRODUCT((COLUMN(Actuals!$C$6:$N$6)-COLUMN(Actuals!$C$6)+1&lt;=RepMonth)*Actuals!$C$6:$N$6)</f>
        <v>3684000</v>
      </c>
      <c r="H6" s="17">
        <f>SUMPRODUCT((COLUMN(Budget!$C$6:$N$6)-COLUMN(Budget!$C$6)+1&lt;=RepMonth)*Budget!$C$6:$N$6)</f>
        <v>3817800</v>
      </c>
      <c r="I6" s="18">
        <f>G6-H6</f>
        <v>-133800</v>
      </c>
      <c r="J6" s="19">
        <f>IF(H6=0,"",I6/ABS(H6))</f>
        <v>-3.5046361779035043E-2</v>
      </c>
    </row>
    <row r="7" spans="1:10" x14ac:dyDescent="0.35">
      <c r="A7" s="14" t="s">
        <v>50</v>
      </c>
      <c r="B7" s="17">
        <f>INDEX(Actuals!$C$7:$N$7,RepMonth)</f>
        <v>111300</v>
      </c>
      <c r="C7" s="17">
        <f>INDEX(Budget!$C$7:$N$7,RepMonth)</f>
        <v>115500</v>
      </c>
      <c r="D7" s="18">
        <f>B7-C7</f>
        <v>-4200</v>
      </c>
      <c r="E7" s="19">
        <f>IF(C7=0,"",D7/ABS(C7))</f>
        <v>-3.6363636363636362E-2</v>
      </c>
      <c r="F7" s="1"/>
      <c r="G7" s="17">
        <f>SUMPRODUCT((COLUMN(Actuals!$C$7:$N$7)-COLUMN(Actuals!$C$7)+1&lt;=RepMonth)*Actuals!$C$7:$N$7)</f>
        <v>960900</v>
      </c>
      <c r="H7" s="17">
        <f>SUMPRODUCT((COLUMN(Budget!$C$7:$N$7)-COLUMN(Budget!$C$7)+1&lt;=RepMonth)*Budget!$C$7:$N$7)</f>
        <v>999900</v>
      </c>
      <c r="I7" s="18">
        <f>G7-H7</f>
        <v>-39000</v>
      </c>
      <c r="J7" s="19">
        <f>IF(H7=0,"",I7/ABS(H7))</f>
        <v>-3.9003900390039002E-2</v>
      </c>
    </row>
    <row r="8" spans="1:10" x14ac:dyDescent="0.35">
      <c r="A8" s="14" t="s">
        <v>51</v>
      </c>
      <c r="B8" s="17">
        <f>INDEX(Actuals!$C$8:$N$8,RepMonth)</f>
        <v>6300</v>
      </c>
      <c r="C8" s="17">
        <f>INDEX(Budget!$C$8:$N$8,RepMonth)</f>
        <v>6300</v>
      </c>
      <c r="D8" s="18">
        <f>B8-C8</f>
        <v>0</v>
      </c>
      <c r="E8" s="19">
        <f>IF(C8=0,"",D8/ABS(C8))</f>
        <v>0</v>
      </c>
      <c r="F8" s="1"/>
      <c r="G8" s="17">
        <f>SUMPRODUCT((COLUMN(Actuals!$C$8:$N$8)-COLUMN(Actuals!$C$8)+1&lt;=RepMonth)*Actuals!$C$8:$N$8)</f>
        <v>52600</v>
      </c>
      <c r="H8" s="17">
        <f>SUMPRODUCT((COLUMN(Budget!$C$8:$N$8)-COLUMN(Budget!$C$8)+1&lt;=RepMonth)*Budget!$C$8:$N$8)</f>
        <v>54500</v>
      </c>
      <c r="I8" s="18">
        <f>G8-H8</f>
        <v>-1900</v>
      </c>
      <c r="J8" s="19">
        <f>IF(H8=0,"",I8/ABS(H8))</f>
        <v>-3.4862385321100919E-2</v>
      </c>
    </row>
    <row r="9" spans="1:10" x14ac:dyDescent="0.35">
      <c r="A9" s="20" t="s">
        <v>80</v>
      </c>
      <c r="B9" s="21">
        <f>SUM(B6:B8)</f>
        <v>565300</v>
      </c>
      <c r="C9" s="21">
        <f>SUM(C6:C8)</f>
        <v>562800</v>
      </c>
      <c r="D9" s="21">
        <f>B9-C9</f>
        <v>2500</v>
      </c>
      <c r="E9" s="22">
        <f>IF(C9=0,"",D9/ABS(C9))</f>
        <v>4.442075337597726E-3</v>
      </c>
      <c r="F9" s="20"/>
      <c r="G9" s="21">
        <f>SUM(G6:G8)</f>
        <v>4697500</v>
      </c>
      <c r="H9" s="21">
        <f>SUM(H6:H8)</f>
        <v>4872200</v>
      </c>
      <c r="I9" s="21">
        <f>G9-H9</f>
        <v>-174700</v>
      </c>
      <c r="J9" s="22">
        <f>IF(H9=0,"",I9/ABS(H9))</f>
        <v>-3.5856491933828658E-2</v>
      </c>
    </row>
    <row r="10" spans="1:10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12" t="s">
        <v>52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35">
      <c r="A12" s="14" t="s">
        <v>53</v>
      </c>
      <c r="B12" s="17">
        <f>INDEX(Actuals!$C$10:$N$10,RepMonth)</f>
        <v>238800</v>
      </c>
      <c r="C12" s="17">
        <f>INDEX(Budget!$C$10:$N$10,RepMonth)</f>
        <v>247800</v>
      </c>
      <c r="D12" s="18">
        <f>B12-C12</f>
        <v>-9000</v>
      </c>
      <c r="E12" s="19">
        <f>IF(C12=0,"",D12/ABS(C12))</f>
        <v>-3.6319612590799029E-2</v>
      </c>
      <c r="F12" s="1"/>
      <c r="G12" s="17">
        <f>SUMPRODUCT((COLUMN(Actuals!$C$10:$N$10)-COLUMN(Actuals!$C$10)+1&lt;=RepMonth)*Actuals!$C$10:$N$10)</f>
        <v>2061300</v>
      </c>
      <c r="H12" s="17">
        <f>SUMPRODUCT((COLUMN(Budget!$C$10:$N$10)-COLUMN(Budget!$C$10)+1&lt;=RepMonth)*Budget!$C$10:$N$10)</f>
        <v>2145200</v>
      </c>
      <c r="I12" s="18">
        <f>G12-H12</f>
        <v>-83900</v>
      </c>
      <c r="J12" s="19">
        <f>IF(H12=0,"",I12/ABS(H12))</f>
        <v>-3.9110572440798061E-2</v>
      </c>
    </row>
    <row r="13" spans="1:10" x14ac:dyDescent="0.35">
      <c r="A13" s="14" t="s">
        <v>54</v>
      </c>
      <c r="B13" s="17">
        <f>INDEX(Actuals!$C$11:$N$11,RepMonth)</f>
        <v>40500</v>
      </c>
      <c r="C13" s="17">
        <f>INDEX(Budget!$C$11:$N$11,RepMonth)</f>
        <v>39900</v>
      </c>
      <c r="D13" s="18">
        <f>B13-C13</f>
        <v>600</v>
      </c>
      <c r="E13" s="19">
        <f>IF(C13=0,"",D13/ABS(C13))</f>
        <v>1.5037593984962405E-2</v>
      </c>
      <c r="F13" s="1"/>
      <c r="G13" s="17">
        <f>SUMPRODUCT((COLUMN(Actuals!$C$11:$N$11)-COLUMN(Actuals!$C$11)+1&lt;=RepMonth)*Actuals!$C$11:$N$11)</f>
        <v>333300</v>
      </c>
      <c r="H13" s="17">
        <f>SUMPRODUCT((COLUMN(Budget!$C$11:$N$11)-COLUMN(Budget!$C$11)+1&lt;=RepMonth)*Budget!$C$11:$N$11)</f>
        <v>345400</v>
      </c>
      <c r="I13" s="18">
        <f>G13-H13</f>
        <v>-12100</v>
      </c>
      <c r="J13" s="19">
        <f>IF(H13=0,"",I13/ABS(H13))</f>
        <v>-3.5031847133757961E-2</v>
      </c>
    </row>
    <row r="14" spans="1:10" x14ac:dyDescent="0.35">
      <c r="A14" s="14" t="s">
        <v>55</v>
      </c>
      <c r="B14" s="17">
        <f>INDEX(Actuals!$C$12:$N$12,RepMonth)</f>
        <v>17200</v>
      </c>
      <c r="C14" s="17">
        <f>INDEX(Budget!$C$12:$N$12,RepMonth)</f>
        <v>17800</v>
      </c>
      <c r="D14" s="18">
        <f>B14-C14</f>
        <v>-600</v>
      </c>
      <c r="E14" s="19">
        <f>IF(C14=0,"",D14/ABS(C14))</f>
        <v>-3.3707865168539325E-2</v>
      </c>
      <c r="F14" s="1"/>
      <c r="G14" s="17">
        <f>SUMPRODUCT((COLUMN(Actuals!$C$12:$N$12)-COLUMN(Actuals!$C$12)+1&lt;=RepMonth)*Actuals!$C$12:$N$12)</f>
        <v>148500</v>
      </c>
      <c r="H14" s="17">
        <f>SUMPRODUCT((COLUMN(Budget!$C$12:$N$12)-COLUMN(Budget!$C$12)+1&lt;=RepMonth)*Budget!$C$12:$N$12)</f>
        <v>154500</v>
      </c>
      <c r="I14" s="18">
        <f>G14-H14</f>
        <v>-6000</v>
      </c>
      <c r="J14" s="19">
        <f>IF(H14=0,"",I14/ABS(H14))</f>
        <v>-3.8834951456310676E-2</v>
      </c>
    </row>
    <row r="15" spans="1:10" x14ac:dyDescent="0.35">
      <c r="A15" s="20" t="s">
        <v>81</v>
      </c>
      <c r="B15" s="21">
        <f>SUM(B12:B14)</f>
        <v>296500</v>
      </c>
      <c r="C15" s="21">
        <f>SUM(C12:C14)</f>
        <v>305500</v>
      </c>
      <c r="D15" s="21">
        <f>B15-C15</f>
        <v>-9000</v>
      </c>
      <c r="E15" s="22">
        <f>IF(C15=0,"",D15/ABS(C15))</f>
        <v>-2.9459901800327332E-2</v>
      </c>
      <c r="F15" s="20"/>
      <c r="G15" s="21">
        <f>SUM(G12:G14)</f>
        <v>2543100</v>
      </c>
      <c r="H15" s="21">
        <f>SUM(H12:H14)</f>
        <v>2645100</v>
      </c>
      <c r="I15" s="21">
        <f>G15-H15</f>
        <v>-102000</v>
      </c>
      <c r="J15" s="22">
        <f>IF(H15=0,"",I15/ABS(H15))</f>
        <v>-3.8561869116479526E-2</v>
      </c>
    </row>
    <row r="16" spans="1:10" x14ac:dyDescent="0.35">
      <c r="A16" s="7" t="s">
        <v>82</v>
      </c>
      <c r="B16" s="16">
        <f>B9-B15</f>
        <v>268800</v>
      </c>
      <c r="C16" s="16">
        <f>C9-C15</f>
        <v>257300</v>
      </c>
      <c r="D16" s="16">
        <f>B16-C16</f>
        <v>11500</v>
      </c>
      <c r="E16" s="23">
        <f>IF(C16=0,"",D16/ABS(C16))</f>
        <v>4.469490866692577E-2</v>
      </c>
      <c r="F16" s="7"/>
      <c r="G16" s="16">
        <f>G9-G15</f>
        <v>2154400</v>
      </c>
      <c r="H16" s="16">
        <f>H9-H15</f>
        <v>2227100</v>
      </c>
      <c r="I16" s="16">
        <f>G16-H16</f>
        <v>-72700</v>
      </c>
      <c r="J16" s="23">
        <f>IF(H16=0,"",I16/ABS(H16))</f>
        <v>-3.2643347851466033E-2</v>
      </c>
    </row>
    <row r="17" spans="1:10" x14ac:dyDescent="0.35">
      <c r="A17" s="24" t="s">
        <v>83</v>
      </c>
      <c r="B17" s="25">
        <f>IF(B9=0,"",B16/B9)</f>
        <v>0.47549973465416595</v>
      </c>
      <c r="C17" s="25">
        <f>IF(C9=0,"",C16/C9)</f>
        <v>0.45717839374555791</v>
      </c>
      <c r="D17" s="1"/>
      <c r="E17" s="1"/>
      <c r="F17" s="1"/>
      <c r="G17" s="25">
        <f>IF(G9=0,"",G16/G9)</f>
        <v>0.45862692921766895</v>
      </c>
      <c r="H17" s="25">
        <f>IF(H9=0,"",H16/H9)</f>
        <v>0.45710356717704526</v>
      </c>
      <c r="I17" s="1"/>
      <c r="J17" s="1"/>
    </row>
    <row r="18" spans="1:10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5">
      <c r="A19" s="12" t="s">
        <v>56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14" t="s">
        <v>57</v>
      </c>
      <c r="B20" s="17">
        <f>INDEX(Actuals!$C$14:$N$14,RepMonth)</f>
        <v>94800</v>
      </c>
      <c r="C20" s="17">
        <f>INDEX(Budget!$C$14:$N$14,RepMonth)</f>
        <v>96600</v>
      </c>
      <c r="D20" s="18">
        <f t="shared" ref="D20:D27" si="0">B20-C20</f>
        <v>-1800</v>
      </c>
      <c r="E20" s="19">
        <f t="shared" ref="E20:E27" si="1">IF(C20=0,"",D20/ABS(C20))</f>
        <v>-1.8633540372670808E-2</v>
      </c>
      <c r="F20" s="1"/>
      <c r="G20" s="17">
        <f>SUMPRODUCT((COLUMN(Actuals!$C$14:$N$14)-COLUMN(Actuals!$C$14)+1&lt;=RepMonth)*Actuals!$C$14:$N$14)</f>
        <v>802100</v>
      </c>
      <c r="H20" s="17">
        <f>SUMPRODUCT((COLUMN(Budget!$C$14:$N$14)-COLUMN(Budget!$C$14)+1&lt;=RepMonth)*Budget!$C$14:$N$14)</f>
        <v>836300</v>
      </c>
      <c r="I20" s="18">
        <f t="shared" ref="I20:I27" si="2">G20-H20</f>
        <v>-34200</v>
      </c>
      <c r="J20" s="19">
        <f t="shared" ref="J20:J27" si="3">IF(H20=0,"",I20/ABS(H20))</f>
        <v>-4.0894415879469091E-2</v>
      </c>
    </row>
    <row r="21" spans="1:10" x14ac:dyDescent="0.35">
      <c r="A21" s="14" t="s">
        <v>58</v>
      </c>
      <c r="B21" s="17">
        <f>INDEX(Actuals!$C$15:$N$15,RepMonth)</f>
        <v>21000</v>
      </c>
      <c r="C21" s="17">
        <f>INDEX(Budget!$C$15:$N$15,RepMonth)</f>
        <v>21000</v>
      </c>
      <c r="D21" s="18">
        <f t="shared" si="0"/>
        <v>0</v>
      </c>
      <c r="E21" s="19">
        <f t="shared" si="1"/>
        <v>0</v>
      </c>
      <c r="F21" s="1"/>
      <c r="G21" s="17">
        <f>SUMPRODUCT((COLUMN(Actuals!$C$15:$N$15)-COLUMN(Actuals!$C$15)+1&lt;=RepMonth)*Actuals!$C$15:$N$15)</f>
        <v>189000</v>
      </c>
      <c r="H21" s="17">
        <f>SUMPRODUCT((COLUMN(Budget!$C$15:$N$15)-COLUMN(Budget!$C$15)+1&lt;=RepMonth)*Budget!$C$15:$N$15)</f>
        <v>189000</v>
      </c>
      <c r="I21" s="18">
        <f t="shared" si="2"/>
        <v>0</v>
      </c>
      <c r="J21" s="19">
        <f t="shared" si="3"/>
        <v>0</v>
      </c>
    </row>
    <row r="22" spans="1:10" x14ac:dyDescent="0.35">
      <c r="A22" s="14" t="s">
        <v>59</v>
      </c>
      <c r="B22" s="17">
        <f>INDEX(Actuals!$C$16:$N$16,RepMonth)</f>
        <v>13900</v>
      </c>
      <c r="C22" s="17">
        <f>INDEX(Budget!$C$16:$N$16,RepMonth)</f>
        <v>14700</v>
      </c>
      <c r="D22" s="18">
        <f t="shared" si="0"/>
        <v>-800</v>
      </c>
      <c r="E22" s="19">
        <f t="shared" si="1"/>
        <v>-5.4421768707482991E-2</v>
      </c>
      <c r="F22" s="1"/>
      <c r="G22" s="17">
        <f>SUMPRODUCT((COLUMN(Actuals!$C$16:$N$16)-COLUMN(Actuals!$C$16)+1&lt;=RepMonth)*Actuals!$C$16:$N$16)</f>
        <v>122400</v>
      </c>
      <c r="H22" s="17">
        <f>SUMPRODUCT((COLUMN(Budget!$C$16:$N$16)-COLUMN(Budget!$C$16)+1&lt;=RepMonth)*Budget!$C$16:$N$16)</f>
        <v>127300</v>
      </c>
      <c r="I22" s="18">
        <f t="shared" si="2"/>
        <v>-4900</v>
      </c>
      <c r="J22" s="19">
        <f t="shared" si="3"/>
        <v>-3.8491751767478398E-2</v>
      </c>
    </row>
    <row r="23" spans="1:10" x14ac:dyDescent="0.35">
      <c r="A23" s="14" t="s">
        <v>60</v>
      </c>
      <c r="B23" s="17">
        <f>INDEX(Actuals!$C$17:$N$17,RepMonth)</f>
        <v>7900</v>
      </c>
      <c r="C23" s="17">
        <f>INDEX(Budget!$C$17:$N$17,RepMonth)</f>
        <v>7900</v>
      </c>
      <c r="D23" s="18">
        <f t="shared" si="0"/>
        <v>0</v>
      </c>
      <c r="E23" s="19">
        <f t="shared" si="1"/>
        <v>0</v>
      </c>
      <c r="F23" s="1"/>
      <c r="G23" s="17">
        <f>SUMPRODUCT((COLUMN(Actuals!$C$17:$N$17)-COLUMN(Actuals!$C$17)+1&lt;=RepMonth)*Actuals!$C$17:$N$17)</f>
        <v>65900</v>
      </c>
      <c r="H23" s="17">
        <f>SUMPRODUCT((COLUMN(Budget!$C$17:$N$17)-COLUMN(Budget!$C$17)+1&lt;=RepMonth)*Budget!$C$17:$N$17)</f>
        <v>68200</v>
      </c>
      <c r="I23" s="18">
        <f t="shared" si="2"/>
        <v>-2300</v>
      </c>
      <c r="J23" s="19">
        <f t="shared" si="3"/>
        <v>-3.3724340175953077E-2</v>
      </c>
    </row>
    <row r="24" spans="1:10" x14ac:dyDescent="0.35">
      <c r="A24" s="14" t="s">
        <v>61</v>
      </c>
      <c r="B24" s="17">
        <f>INDEX(Actuals!$C$18:$N$18,RepMonth)</f>
        <v>4200</v>
      </c>
      <c r="C24" s="17">
        <f>INDEX(Budget!$C$18:$N$18,RepMonth)</f>
        <v>4200</v>
      </c>
      <c r="D24" s="18">
        <f t="shared" si="0"/>
        <v>0</v>
      </c>
      <c r="E24" s="19">
        <f t="shared" si="1"/>
        <v>0</v>
      </c>
      <c r="F24" s="1"/>
      <c r="G24" s="17">
        <f>SUMPRODUCT((COLUMN(Actuals!$C$18:$N$18)-COLUMN(Actuals!$C$18)+1&lt;=RepMonth)*Actuals!$C$18:$N$18)</f>
        <v>37800</v>
      </c>
      <c r="H24" s="17">
        <f>SUMPRODUCT((COLUMN(Budget!$C$18:$N$18)-COLUMN(Budget!$C$18)+1&lt;=RepMonth)*Budget!$C$18:$N$18)</f>
        <v>37800</v>
      </c>
      <c r="I24" s="18">
        <f t="shared" si="2"/>
        <v>0</v>
      </c>
      <c r="J24" s="19">
        <f t="shared" si="3"/>
        <v>0</v>
      </c>
    </row>
    <row r="25" spans="1:10" x14ac:dyDescent="0.35">
      <c r="A25" s="14" t="s">
        <v>62</v>
      </c>
      <c r="B25" s="17">
        <f>INDEX(Actuals!$C$19:$N$19,RepMonth)</f>
        <v>10100</v>
      </c>
      <c r="C25" s="17">
        <f>INDEX(Budget!$C$19:$N$19,RepMonth)</f>
        <v>10300</v>
      </c>
      <c r="D25" s="18">
        <f t="shared" si="0"/>
        <v>-200</v>
      </c>
      <c r="E25" s="19">
        <f t="shared" si="1"/>
        <v>-1.9417475728155338E-2</v>
      </c>
      <c r="F25" s="1"/>
      <c r="G25" s="17">
        <f>SUMPRODUCT((COLUMN(Actuals!$C$19:$N$19)-COLUMN(Actuals!$C$19)+1&lt;=RepMonth)*Actuals!$C$19:$N$19)</f>
        <v>85500</v>
      </c>
      <c r="H25" s="17">
        <f>SUMPRODUCT((COLUMN(Budget!$C$19:$N$19)-COLUMN(Budget!$C$19)+1&lt;=RepMonth)*Budget!$C$19:$N$19)</f>
        <v>89100</v>
      </c>
      <c r="I25" s="18">
        <f t="shared" si="2"/>
        <v>-3600</v>
      </c>
      <c r="J25" s="19">
        <f t="shared" si="3"/>
        <v>-4.0404040404040407E-2</v>
      </c>
    </row>
    <row r="26" spans="1:10" x14ac:dyDescent="0.35">
      <c r="A26" s="20" t="s">
        <v>84</v>
      </c>
      <c r="B26" s="21">
        <f>SUM(B20:B25)</f>
        <v>151900</v>
      </c>
      <c r="C26" s="21">
        <f>SUM(C20:C25)</f>
        <v>154700</v>
      </c>
      <c r="D26" s="21">
        <f t="shared" si="0"/>
        <v>-2800</v>
      </c>
      <c r="E26" s="22">
        <f t="shared" si="1"/>
        <v>-1.8099547511312219E-2</v>
      </c>
      <c r="F26" s="20"/>
      <c r="G26" s="21">
        <f>SUM(G20:G25)</f>
        <v>1302700</v>
      </c>
      <c r="H26" s="21">
        <f>SUM(H20:H25)</f>
        <v>1347700</v>
      </c>
      <c r="I26" s="21">
        <f t="shared" si="2"/>
        <v>-45000</v>
      </c>
      <c r="J26" s="22">
        <f t="shared" si="3"/>
        <v>-3.3390220375454478E-2</v>
      </c>
    </row>
    <row r="27" spans="1:10" x14ac:dyDescent="0.35">
      <c r="A27" s="7" t="s">
        <v>85</v>
      </c>
      <c r="B27" s="16">
        <f>B16-B26</f>
        <v>116900</v>
      </c>
      <c r="C27" s="16">
        <f>C16-C26</f>
        <v>102600</v>
      </c>
      <c r="D27" s="16">
        <f t="shared" si="0"/>
        <v>14300</v>
      </c>
      <c r="E27" s="23">
        <f t="shared" si="1"/>
        <v>0.13937621832358674</v>
      </c>
      <c r="F27" s="7"/>
      <c r="G27" s="16">
        <f>G16-G26</f>
        <v>851700</v>
      </c>
      <c r="H27" s="16">
        <f>H16-H26</f>
        <v>879400</v>
      </c>
      <c r="I27" s="16">
        <f t="shared" si="2"/>
        <v>-27700</v>
      </c>
      <c r="J27" s="23">
        <f t="shared" si="3"/>
        <v>-3.1498749147145781E-2</v>
      </c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2" t="s">
        <v>63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35">
      <c r="A30" s="14" t="s">
        <v>64</v>
      </c>
      <c r="B30" s="17">
        <f>INDEX(Actuals!$C$21:$N$21,RepMonth)</f>
        <v>8500</v>
      </c>
      <c r="C30" s="17">
        <f>INDEX(Budget!$C$21:$N$21,RepMonth)</f>
        <v>8500</v>
      </c>
      <c r="D30" s="18">
        <f>B30-C30</f>
        <v>0</v>
      </c>
      <c r="E30" s="19">
        <f>IF(C30=0,"",D30/ABS(C30))</f>
        <v>0</v>
      </c>
      <c r="F30" s="1"/>
      <c r="G30" s="17">
        <f>SUMPRODUCT((COLUMN(Actuals!$C$21:$N$21)-COLUMN(Actuals!$C$21)+1&lt;=RepMonth)*Actuals!$C$21:$N$21)</f>
        <v>76500</v>
      </c>
      <c r="H30" s="17">
        <f>SUMPRODUCT((COLUMN(Budget!$C$21:$N$21)-COLUMN(Budget!$C$21)+1&lt;=RepMonth)*Budget!$C$21:$N$21)</f>
        <v>76500</v>
      </c>
      <c r="I30" s="18">
        <f>G30-H30</f>
        <v>0</v>
      </c>
      <c r="J30" s="19">
        <f>IF(H30=0,"",I30/ABS(H30))</f>
        <v>0</v>
      </c>
    </row>
    <row r="31" spans="1:10" x14ac:dyDescent="0.35">
      <c r="A31" s="14" t="s">
        <v>65</v>
      </c>
      <c r="B31" s="17">
        <f>INDEX(Actuals!$C$22:$N$22,RepMonth)</f>
        <v>3100</v>
      </c>
      <c r="C31" s="17">
        <f>INDEX(Budget!$C$22:$N$22,RepMonth)</f>
        <v>3100</v>
      </c>
      <c r="D31" s="18">
        <f>B31-C31</f>
        <v>0</v>
      </c>
      <c r="E31" s="19">
        <f>IF(C31=0,"",D31/ABS(C31))</f>
        <v>0</v>
      </c>
      <c r="F31" s="1"/>
      <c r="G31" s="17">
        <f>SUMPRODUCT((COLUMN(Actuals!$C$22:$N$22)-COLUMN(Actuals!$C$22)+1&lt;=RepMonth)*Actuals!$C$22:$N$22)</f>
        <v>27900</v>
      </c>
      <c r="H31" s="17">
        <f>SUMPRODUCT((COLUMN(Budget!$C$22:$N$22)-COLUMN(Budget!$C$22)+1&lt;=RepMonth)*Budget!$C$22:$N$22)</f>
        <v>27900</v>
      </c>
      <c r="I31" s="18">
        <f>G31-H31</f>
        <v>0</v>
      </c>
      <c r="J31" s="19">
        <f>IF(H31=0,"",I31/ABS(H31))</f>
        <v>0</v>
      </c>
    </row>
    <row r="32" spans="1:10" x14ac:dyDescent="0.35">
      <c r="A32" s="14" t="s">
        <v>66</v>
      </c>
      <c r="B32" s="17">
        <f>INDEX(Actuals!$C$23:$N$23,RepMonth)</f>
        <v>6800</v>
      </c>
      <c r="C32" s="17">
        <f>INDEX(Budget!$C$23:$N$23,RepMonth)</f>
        <v>7100</v>
      </c>
      <c r="D32" s="18">
        <f>B32-C32</f>
        <v>-300</v>
      </c>
      <c r="E32" s="19">
        <f>IF(C32=0,"",D32/ABS(C32))</f>
        <v>-4.2253521126760563E-2</v>
      </c>
      <c r="F32" s="1"/>
      <c r="G32" s="17">
        <f>SUMPRODUCT((COLUMN(Actuals!$C$23:$N$23)-COLUMN(Actuals!$C$23)+1&lt;=RepMonth)*Actuals!$C$23:$N$23)</f>
        <v>59500</v>
      </c>
      <c r="H32" s="17">
        <f>SUMPRODUCT((COLUMN(Budget!$C$23:$N$23)-COLUMN(Budget!$C$23)+1&lt;=RepMonth)*Budget!$C$23:$N$23)</f>
        <v>61800</v>
      </c>
      <c r="I32" s="18">
        <f>G32-H32</f>
        <v>-2300</v>
      </c>
      <c r="J32" s="19">
        <f>IF(H32=0,"",I32/ABS(H32))</f>
        <v>-3.7216828478964403E-2</v>
      </c>
    </row>
    <row r="33" spans="1:10" x14ac:dyDescent="0.35">
      <c r="A33" s="20" t="s">
        <v>86</v>
      </c>
      <c r="B33" s="21">
        <f>B27-B30-B31-B32</f>
        <v>98500</v>
      </c>
      <c r="C33" s="21">
        <f>C27-C30-C31-C32</f>
        <v>83900</v>
      </c>
      <c r="D33" s="21">
        <f>B33-C33</f>
        <v>14600</v>
      </c>
      <c r="E33" s="22">
        <f>IF(C33=0,"",D33/ABS(C33))</f>
        <v>0.17401668653158522</v>
      </c>
      <c r="F33" s="20"/>
      <c r="G33" s="21">
        <f>G27-G30-G31-G32</f>
        <v>687800</v>
      </c>
      <c r="H33" s="21">
        <f>H27-H30-H31-H32</f>
        <v>713200</v>
      </c>
      <c r="I33" s="21">
        <f>G33-H33</f>
        <v>-25400</v>
      </c>
      <c r="J33" s="22">
        <f>IF(H33=0,"",I33/ABS(H33))</f>
        <v>-3.5614133482894002E-2</v>
      </c>
    </row>
    <row r="34" spans="1:10" x14ac:dyDescent="0.35">
      <c r="A34" s="24" t="s">
        <v>87</v>
      </c>
      <c r="B34" s="25">
        <f>IF(B9=0,"",B33/B9)</f>
        <v>0.17424376437289935</v>
      </c>
      <c r="C34" s="25">
        <f>IF(C9=0,"",C33/C9)</f>
        <v>0.14907604832977966</v>
      </c>
      <c r="D34" s="1"/>
      <c r="E34" s="1"/>
      <c r="F34" s="1"/>
      <c r="G34" s="25">
        <f>IF(G9=0,"",G33/G9)</f>
        <v>0.14641830761043109</v>
      </c>
      <c r="H34" s="25">
        <f>IF(H9=0,"",H33/H9)</f>
        <v>0.14638151143220721</v>
      </c>
      <c r="I34" s="1"/>
      <c r="J34" s="1"/>
    </row>
  </sheetData>
  <conditionalFormatting sqref="D6:D9">
    <cfRule type="cellIs" dxfId="28" priority="1" operator="greaterThan">
      <formula>0</formula>
    </cfRule>
    <cfRule type="cellIs" dxfId="27" priority="2" operator="lessThan">
      <formula>0</formula>
    </cfRule>
  </conditionalFormatting>
  <conditionalFormatting sqref="D12:D15">
    <cfRule type="cellIs" dxfId="26" priority="29" operator="lessThan">
      <formula>0</formula>
    </cfRule>
    <cfRule type="cellIs" dxfId="25" priority="30" operator="greaterThan">
      <formula>0</formula>
    </cfRule>
  </conditionalFormatting>
  <conditionalFormatting sqref="D16">
    <cfRule type="cellIs" dxfId="24" priority="17" operator="greaterThan">
      <formula>0</formula>
    </cfRule>
    <cfRule type="cellIs" dxfId="23" priority="18" operator="lessThan">
      <formula>0</formula>
    </cfRule>
  </conditionalFormatting>
  <conditionalFormatting sqref="D20:D26">
    <cfRule type="cellIs" dxfId="22" priority="42" operator="greaterThan">
      <formula>0</formula>
    </cfRule>
    <cfRule type="cellIs" dxfId="21" priority="41" operator="lessThan">
      <formula>0</formula>
    </cfRule>
  </conditionalFormatting>
  <conditionalFormatting sqref="D27">
    <cfRule type="cellIs" dxfId="20" priority="21" operator="greaterThan">
      <formula>0</formula>
    </cfRule>
    <cfRule type="cellIs" dxfId="19" priority="22" operator="lessThan">
      <formula>0</formula>
    </cfRule>
  </conditionalFormatting>
  <conditionalFormatting sqref="D30:D32">
    <cfRule type="cellIs" dxfId="18" priority="65" operator="lessThan">
      <formula>0</formula>
    </cfRule>
    <cfRule type="cellIs" dxfId="17" priority="66" operator="greaterThan">
      <formula>0</formula>
    </cfRule>
  </conditionalFormatting>
  <conditionalFormatting sqref="D33">
    <cfRule type="cellIs" dxfId="16" priority="25" operator="greaterThan">
      <formula>0</formula>
    </cfRule>
    <cfRule type="cellIs" dxfId="15" priority="26" operator="lessThan">
      <formula>0</formula>
    </cfRule>
  </conditionalFormatting>
  <conditionalFormatting sqref="I6:I9">
    <cfRule type="cellIs" dxfId="14" priority="3" operator="greaterThan">
      <formula>0</formula>
    </cfRule>
    <cfRule type="cellIs" dxfId="13" priority="4" operator="lessThan">
      <formula>0</formula>
    </cfRule>
  </conditionalFormatting>
  <conditionalFormatting sqref="I12:I15">
    <cfRule type="cellIs" dxfId="12" priority="31" operator="lessThan">
      <formula>0</formula>
    </cfRule>
    <cfRule type="cellIs" dxfId="11" priority="32" operator="greaterThan">
      <formula>0</formula>
    </cfRule>
  </conditionalFormatting>
  <conditionalFormatting sqref="I16">
    <cfRule type="cellIs" dxfId="10" priority="19" operator="greaterThan">
      <formula>0</formula>
    </cfRule>
    <cfRule type="cellIs" dxfId="9" priority="20" operator="lessThan">
      <formula>0</formula>
    </cfRule>
  </conditionalFormatting>
  <conditionalFormatting sqref="I20:I26">
    <cfRule type="cellIs" dxfId="8" priority="43" operator="lessThan">
      <formula>0</formula>
    </cfRule>
    <cfRule type="cellIs" dxfId="7" priority="44" operator="greaterThan">
      <formula>0</formula>
    </cfRule>
  </conditionalFormatting>
  <conditionalFormatting sqref="I27">
    <cfRule type="cellIs" dxfId="6" priority="24" operator="lessThan">
      <formula>0</formula>
    </cfRule>
    <cfRule type="cellIs" dxfId="5" priority="23" operator="greaterThan">
      <formula>0</formula>
    </cfRule>
  </conditionalFormatting>
  <conditionalFormatting sqref="I30:I32">
    <cfRule type="cellIs" dxfId="4" priority="67" operator="lessThan">
      <formula>0</formula>
    </cfRule>
    <cfRule type="cellIs" dxfId="3" priority="68" operator="greaterThan">
      <formula>0</formula>
    </cfRule>
  </conditionalFormatting>
  <conditionalFormatting sqref="I33">
    <cfRule type="cellIs" dxfId="2" priority="27" operator="greaterThan">
      <formula>0</formula>
    </cfRule>
    <cfRule type="cellIs" dxfId="1" priority="28" operator="lessThan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A2E4A"/>
  </sheetPr>
  <dimension ref="A1:M13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34" customWidth="1"/>
    <col min="2" max="13" width="11" customWidth="1"/>
  </cols>
  <sheetData>
    <row r="1" spans="1:13" ht="20" x14ac:dyDescent="0.4">
      <c r="A1" s="6" t="str">
        <f>Settings!C4&amp;": KPIs by month"</f>
        <v>Example Trading LLC (fictitious): KPIs by month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3" t="s">
        <v>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10" t="s">
        <v>89</v>
      </c>
      <c r="B4" s="11" t="s">
        <v>35</v>
      </c>
      <c r="C4" s="11" t="s">
        <v>36</v>
      </c>
      <c r="D4" s="11" t="s">
        <v>37</v>
      </c>
      <c r="E4" s="11" t="s">
        <v>38</v>
      </c>
      <c r="F4" s="11" t="s">
        <v>39</v>
      </c>
      <c r="G4" s="11" t="s">
        <v>40</v>
      </c>
      <c r="H4" s="11" t="s">
        <v>41</v>
      </c>
      <c r="I4" s="11" t="s">
        <v>42</v>
      </c>
      <c r="J4" s="11" t="s">
        <v>43</v>
      </c>
      <c r="K4" s="11" t="s">
        <v>44</v>
      </c>
      <c r="L4" s="11" t="s">
        <v>45</v>
      </c>
      <c r="M4" s="11" t="s">
        <v>46</v>
      </c>
    </row>
    <row r="5" spans="1:13" x14ac:dyDescent="0.35">
      <c r="A5" s="7" t="s">
        <v>90</v>
      </c>
      <c r="B5" s="18">
        <f>(Actuals!C6+Actuals!C7+Actuals!C8)</f>
        <v>496400</v>
      </c>
      <c r="C5" s="18">
        <f>(Actuals!D6+Actuals!D7+Actuals!D8)</f>
        <v>495400</v>
      </c>
      <c r="D5" s="18">
        <f>(Actuals!E6+Actuals!E7+Actuals!E8)</f>
        <v>561300</v>
      </c>
      <c r="E5" s="18">
        <f>(Actuals!F6+Actuals!F7+Actuals!F8)</f>
        <v>548900</v>
      </c>
      <c r="F5" s="18">
        <f>(Actuals!G6+Actuals!G7+Actuals!G8)</f>
        <v>562100</v>
      </c>
      <c r="G5" s="18">
        <f>(Actuals!H6+Actuals!H7+Actuals!H8)</f>
        <v>523300</v>
      </c>
      <c r="H5" s="18">
        <f>(Actuals!I6+Actuals!I7+Actuals!I8)</f>
        <v>459000</v>
      </c>
      <c r="I5" s="18">
        <f>(Actuals!J6+Actuals!J7+Actuals!J8)</f>
        <v>485800</v>
      </c>
      <c r="J5" s="18">
        <f>(Actuals!K6+Actuals!K7+Actuals!K8)</f>
        <v>565300</v>
      </c>
      <c r="K5" s="18">
        <f>(Actuals!L6+Actuals!L7+Actuals!L8)</f>
        <v>572900</v>
      </c>
      <c r="L5" s="18">
        <f>(Actuals!M6+Actuals!M7+Actuals!M8)</f>
        <v>593500</v>
      </c>
      <c r="M5" s="18">
        <f>(Actuals!N6+Actuals!N7+Actuals!N8)</f>
        <v>584100</v>
      </c>
    </row>
    <row r="6" spans="1:13" x14ac:dyDescent="0.35">
      <c r="A6" s="7" t="s">
        <v>83</v>
      </c>
      <c r="B6" s="19">
        <f>IF((Actuals!C6+Actuals!C7+Actuals!C8)=0,"",1-(Actuals!C10+Actuals!C11+Actuals!C12)/(Actuals!C6+Actuals!C7+Actuals!C8))</f>
        <v>0.47582594681708301</v>
      </c>
      <c r="C6" s="19">
        <f>IF((Actuals!D6+Actuals!D7+Actuals!D8)=0,"",1-(Actuals!D10+Actuals!D11+Actuals!D12)/(Actuals!D6+Actuals!D7+Actuals!D8))</f>
        <v>0.4444893015744853</v>
      </c>
      <c r="D6" s="19">
        <f>IF((Actuals!E6+Actuals!E7+Actuals!E8)=0,"",1-(Actuals!E10+Actuals!E11+Actuals!E12)/(Actuals!E6+Actuals!E7+Actuals!E8))</f>
        <v>0.44450383039372887</v>
      </c>
      <c r="E6" s="19">
        <f>IF((Actuals!F6+Actuals!F7+Actuals!F8)=0,"",1-(Actuals!F10+Actuals!F11+Actuals!F12)/(Actuals!F6+Actuals!F7+Actuals!F8))</f>
        <v>0.47549644744033526</v>
      </c>
      <c r="F6" s="19">
        <f>IF((Actuals!G6+Actuals!G7+Actuals!G8)=0,"",1-(Actuals!G10+Actuals!G11+Actuals!G12)/(Actuals!G6+Actuals!G7+Actuals!G8))</f>
        <v>0.44422700587084152</v>
      </c>
      <c r="G6" s="19">
        <f>IF((Actuals!H6+Actuals!H7+Actuals!H8)=0,"",1-(Actuals!H10+Actuals!H11+Actuals!H12)/(Actuals!H6+Actuals!H7+Actuals!H8))</f>
        <v>0.47582648576342446</v>
      </c>
      <c r="H6" s="19">
        <f>IF((Actuals!I6+Actuals!I7+Actuals!I8)=0,"",1-(Actuals!I10+Actuals!I11+Actuals!I12)/(Actuals!I6+Actuals!I7+Actuals!I8))</f>
        <v>0.44444444444444442</v>
      </c>
      <c r="I6" s="19">
        <f>IF((Actuals!J6+Actuals!J7+Actuals!J8)=0,"",1-(Actuals!J10+Actuals!J11+Actuals!J12)/(Actuals!J6+Actuals!J7+Actuals!J8))</f>
        <v>0.44462741869081923</v>
      </c>
      <c r="J6" s="19">
        <f>IF((Actuals!K6+Actuals!K7+Actuals!K8)=0,"",1-(Actuals!K10+Actuals!K11+Actuals!K12)/(Actuals!K6+Actuals!K7+Actuals!K8))</f>
        <v>0.47549973465416595</v>
      </c>
      <c r="K6" s="19">
        <f>IF((Actuals!L6+Actuals!L7+Actuals!L8)=0,"",1-(Actuals!L10+Actuals!L11+Actuals!L12)/(Actuals!L6+Actuals!L7+Actuals!L8))</f>
        <v>0.44440565543724908</v>
      </c>
      <c r="L6" s="19">
        <f>IF((Actuals!M6+Actuals!M7+Actuals!M8)=0,"",1-(Actuals!M10+Actuals!M11+Actuals!M12)/(Actuals!M6+Actuals!M7+Actuals!M8))</f>
        <v>0.47598989048020224</v>
      </c>
      <c r="M6" s="19">
        <f>IF((Actuals!N6+Actuals!N7+Actuals!N8)=0,"",1-(Actuals!N10+Actuals!N11+Actuals!N12)/(Actuals!N6+Actuals!N7+Actuals!N8))</f>
        <v>0.44461564800547848</v>
      </c>
    </row>
    <row r="7" spans="1:13" x14ac:dyDescent="0.35">
      <c r="A7" s="7" t="s">
        <v>91</v>
      </c>
      <c r="B7" s="19">
        <f>IF((Actuals!C6+Actuals!C7+Actuals!C8)=0,"",(Actuals!C14+Actuals!C15+Actuals!C16+Actuals!C17+Actuals!C18+Actuals!C19)/(Actuals!C6+Actuals!C7+Actuals!C8))</f>
        <v>0.27699435938759065</v>
      </c>
      <c r="C7" s="19">
        <f>IF((Actuals!D6+Actuals!D7+Actuals!D8)=0,"",(Actuals!D14+Actuals!D15+Actuals!D16+Actuals!D17+Actuals!D18+Actuals!D19)/(Actuals!D6+Actuals!D7+Actuals!D8))</f>
        <v>0.29087605974969721</v>
      </c>
      <c r="D7" s="19">
        <f>IF((Actuals!E6+Actuals!E7+Actuals!E8)=0,"",(Actuals!E14+Actuals!E15+Actuals!E16+Actuals!E17+Actuals!E18+Actuals!E19)/(Actuals!E6+Actuals!E7+Actuals!E8))</f>
        <v>0.2668804560840905</v>
      </c>
      <c r="E7" s="19">
        <f>IF((Actuals!F6+Actuals!F7+Actuals!F8)=0,"",(Actuals!F14+Actuals!F15+Actuals!F16+Actuals!F17+Actuals!F18+Actuals!F19)/(Actuals!F6+Actuals!F7+Actuals!F8))</f>
        <v>0.26981235197668063</v>
      </c>
      <c r="F7" s="19">
        <f>IF((Actuals!G6+Actuals!G7+Actuals!G8)=0,"",(Actuals!G14+Actuals!G15+Actuals!G16+Actuals!G17+Actuals!G18+Actuals!G19)/(Actuals!G6+Actuals!G7+Actuals!G8))</f>
        <v>0.28357943426436577</v>
      </c>
      <c r="G7" s="19">
        <f>IF((Actuals!H6+Actuals!H7+Actuals!H8)=0,"",(Actuals!H14+Actuals!H15+Actuals!H16+Actuals!H17+Actuals!H18+Actuals!H19)/(Actuals!H6+Actuals!H7+Actuals!H8))</f>
        <v>0.27441238295432829</v>
      </c>
      <c r="H7" s="19">
        <f>IF((Actuals!I6+Actuals!I7+Actuals!I8)=0,"",(Actuals!I14+Actuals!I15+Actuals!I16+Actuals!I17+Actuals!I18+Actuals!I19)/(Actuals!I6+Actuals!I7+Actuals!I8))</f>
        <v>0.29477124183006537</v>
      </c>
      <c r="I7" s="19">
        <f>IF((Actuals!J6+Actuals!J7+Actuals!J8)=0,"",(Actuals!J14+Actuals!J15+Actuals!J16+Actuals!J17+Actuals!J18+Actuals!J19)/(Actuals!J6+Actuals!J7+Actuals!J8))</f>
        <v>0.2737752161383285</v>
      </c>
      <c r="J7" s="19">
        <f>IF((Actuals!K6+Actuals!K7+Actuals!K8)=0,"",(Actuals!K14+Actuals!K15+Actuals!K16+Actuals!K17+Actuals!K18+Actuals!K19)/(Actuals!K6+Actuals!K7+Actuals!K8))</f>
        <v>0.26870688130196357</v>
      </c>
      <c r="K7" s="19">
        <f>IF((Actuals!L6+Actuals!L7+Actuals!L8)=0,"",(Actuals!L14+Actuals!L15+Actuals!L16+Actuals!L17+Actuals!L18+Actuals!L19)/(Actuals!L6+Actuals!L7+Actuals!L8))</f>
        <v>0.28259731192180138</v>
      </c>
      <c r="L7" s="19">
        <f>IF((Actuals!M6+Actuals!M7+Actuals!M8)=0,"",(Actuals!M14+Actuals!M15+Actuals!M16+Actuals!M17+Actuals!M18+Actuals!M19)/(Actuals!M6+Actuals!M7+Actuals!M8))</f>
        <v>0.26840775063184497</v>
      </c>
      <c r="M7" s="19">
        <f>IF((Actuals!N6+Actuals!N7+Actuals!N8)=0,"",(Actuals!N14+Actuals!N15+Actuals!N16+Actuals!N17+Actuals!N18+Actuals!N19)/(Actuals!N6+Actuals!N7+Actuals!N8))</f>
        <v>0.28299948638931688</v>
      </c>
    </row>
    <row r="8" spans="1:13" x14ac:dyDescent="0.35">
      <c r="A8" s="7" t="s">
        <v>92</v>
      </c>
      <c r="B8" s="19">
        <f>IF((Actuals!C6+Actuals!C7+Actuals!C8)=0,"",((Actuals!C6+Actuals!C7+Actuals!C8)-(Actuals!C10+Actuals!C11+Actuals!C12)-(Actuals!C14+Actuals!C15+Actuals!C16+Actuals!C17+Actuals!C18+Actuals!C19))/(Actuals!C6+Actuals!C7+Actuals!C8))</f>
        <v>0.19883158742949233</v>
      </c>
      <c r="C8" s="19">
        <f>IF((Actuals!D6+Actuals!D7+Actuals!D8)=0,"",((Actuals!D6+Actuals!D7+Actuals!D8)-(Actuals!D10+Actuals!D11+Actuals!D12)-(Actuals!D14+Actuals!D15+Actuals!D16+Actuals!D17+Actuals!D18+Actuals!D19))/(Actuals!D6+Actuals!D7+Actuals!D8))</f>
        <v>0.15361324182478805</v>
      </c>
      <c r="D8" s="19">
        <f>IF((Actuals!E6+Actuals!E7+Actuals!E8)=0,"",((Actuals!E6+Actuals!E7+Actuals!E8)-(Actuals!E10+Actuals!E11+Actuals!E12)-(Actuals!E14+Actuals!E15+Actuals!E16+Actuals!E17+Actuals!E18+Actuals!E19))/(Actuals!E6+Actuals!E7+Actuals!E8))</f>
        <v>0.17762337430963834</v>
      </c>
      <c r="E8" s="19">
        <f>IF((Actuals!F6+Actuals!F7+Actuals!F8)=0,"",((Actuals!F6+Actuals!F7+Actuals!F8)-(Actuals!F10+Actuals!F11+Actuals!F12)-(Actuals!F14+Actuals!F15+Actuals!F16+Actuals!F17+Actuals!F18+Actuals!F19))/(Actuals!F6+Actuals!F7+Actuals!F8))</f>
        <v>0.20568409546365457</v>
      </c>
      <c r="F8" s="19">
        <f>IF((Actuals!G6+Actuals!G7+Actuals!G8)=0,"",((Actuals!G6+Actuals!G7+Actuals!G8)-(Actuals!G10+Actuals!G11+Actuals!G12)-(Actuals!G14+Actuals!G15+Actuals!G16+Actuals!G17+Actuals!G18+Actuals!G19))/(Actuals!G6+Actuals!G7+Actuals!G8))</f>
        <v>0.16064757160647572</v>
      </c>
      <c r="G8" s="19">
        <f>IF((Actuals!H6+Actuals!H7+Actuals!H8)=0,"",((Actuals!H6+Actuals!H7+Actuals!H8)-(Actuals!H10+Actuals!H11+Actuals!H12)-(Actuals!H14+Actuals!H15+Actuals!H16+Actuals!H17+Actuals!H18+Actuals!H19))/(Actuals!H6+Actuals!H7+Actuals!H8))</f>
        <v>0.20141410280909611</v>
      </c>
      <c r="H8" s="19">
        <f>IF((Actuals!I6+Actuals!I7+Actuals!I8)=0,"",((Actuals!I6+Actuals!I7+Actuals!I8)-(Actuals!I10+Actuals!I11+Actuals!I12)-(Actuals!I14+Actuals!I15+Actuals!I16+Actuals!I17+Actuals!I18+Actuals!I19))/(Actuals!I6+Actuals!I7+Actuals!I8))</f>
        <v>0.14967320261437908</v>
      </c>
      <c r="I8" s="19">
        <f>IF((Actuals!J6+Actuals!J7+Actuals!J8)=0,"",((Actuals!J6+Actuals!J7+Actuals!J8)-(Actuals!J10+Actuals!J11+Actuals!J12)-(Actuals!J14+Actuals!J15+Actuals!J16+Actuals!J17+Actuals!J18+Actuals!J19))/(Actuals!J6+Actuals!J7+Actuals!J8))</f>
        <v>0.17085220255249073</v>
      </c>
      <c r="J8" s="19">
        <f>IF((Actuals!K6+Actuals!K7+Actuals!K8)=0,"",((Actuals!K6+Actuals!K7+Actuals!K8)-(Actuals!K10+Actuals!K11+Actuals!K12)-(Actuals!K14+Actuals!K15+Actuals!K16+Actuals!K17+Actuals!K18+Actuals!K19))/(Actuals!K6+Actuals!K7+Actuals!K8))</f>
        <v>0.20679285335220238</v>
      </c>
      <c r="K8" s="19">
        <f>IF((Actuals!L6+Actuals!L7+Actuals!L8)=0,"",((Actuals!L6+Actuals!L7+Actuals!L8)-(Actuals!L10+Actuals!L11+Actuals!L12)-(Actuals!L14+Actuals!L15+Actuals!L16+Actuals!L17+Actuals!L18+Actuals!L19))/(Actuals!L6+Actuals!L7+Actuals!L8))</f>
        <v>0.16180834351544773</v>
      </c>
      <c r="L8" s="19">
        <f>IF((Actuals!M6+Actuals!M7+Actuals!M8)=0,"",((Actuals!M6+Actuals!M7+Actuals!M8)-(Actuals!M10+Actuals!M11+Actuals!M12)-(Actuals!M14+Actuals!M15+Actuals!M16+Actuals!M17+Actuals!M18+Actuals!M19))/(Actuals!M6+Actuals!M7+Actuals!M8))</f>
        <v>0.20758213984835722</v>
      </c>
      <c r="M8" s="19">
        <f>IF((Actuals!N6+Actuals!N7+Actuals!N8)=0,"",((Actuals!N6+Actuals!N7+Actuals!N8)-(Actuals!N10+Actuals!N11+Actuals!N12)-(Actuals!N14+Actuals!N15+Actuals!N16+Actuals!N17+Actuals!N18+Actuals!N19))/(Actuals!N6+Actuals!N7+Actuals!N8))</f>
        <v>0.16161616161616163</v>
      </c>
    </row>
    <row r="9" spans="1:13" x14ac:dyDescent="0.35">
      <c r="A9" s="7" t="s">
        <v>93</v>
      </c>
      <c r="B9" s="26">
        <f>IF((Actuals!C6+Actuals!C7+Actuals!C8)=0,"",Actuals!C27/(Actuals!C6+Actuals!C7+Actuals!C8)*DaysInMonth)</f>
        <v>25.322320709105561</v>
      </c>
      <c r="C9" s="26">
        <f>IF((Actuals!D6+Actuals!D7+Actuals!D8)=0,"",Actuals!D27/(Actuals!D6+Actuals!D7+Actuals!D8)*DaysInMonth)</f>
        <v>26.221235365361323</v>
      </c>
      <c r="D9" s="26">
        <f>IF((Actuals!E6+Actuals!E7+Actuals!E8)=0,"",Actuals!E27/(Actuals!E6+Actuals!E7+Actuals!E8)*DaysInMonth)</f>
        <v>23.890967397113844</v>
      </c>
      <c r="E9" s="26">
        <f>IF((Actuals!F6+Actuals!F7+Actuals!F8)=0,"",Actuals!F27/(Actuals!F6+Actuals!F7+Actuals!F8)*DaysInMonth)</f>
        <v>23.774822372016761</v>
      </c>
      <c r="F9" s="26">
        <f>IF((Actuals!G6+Actuals!G7+Actuals!G8)=0,"",Actuals!G27/(Actuals!G6+Actuals!G7+Actuals!G8)*DaysInMonth)</f>
        <v>24.017078811599358</v>
      </c>
      <c r="G9" s="26">
        <f>IF((Actuals!H6+Actuals!H7+Actuals!H8)=0,"",Actuals!H27/(Actuals!H6+Actuals!H7+Actuals!H8)*DaysInMonth)</f>
        <v>26.600420408943247</v>
      </c>
      <c r="H9" s="26">
        <f>IF((Actuals!I6+Actuals!I7+Actuals!I8)=0,"",Actuals!I27/(Actuals!I6+Actuals!I7+Actuals!I8)*DaysInMonth)</f>
        <v>29.477124183006534</v>
      </c>
      <c r="I9" s="26">
        <f>IF((Actuals!J6+Actuals!J7+Actuals!J8)=0,"",Actuals!J27/(Actuals!J6+Actuals!J7+Actuals!J8)*DaysInMonth)</f>
        <v>28.777274598600247</v>
      </c>
      <c r="J9" s="26">
        <f>IF((Actuals!K6+Actuals!K7+Actuals!K8)=0,"",Actuals!K27/(Actuals!K6+Actuals!K7+Actuals!K8)*DaysInMonth)</f>
        <v>25.526269237572969</v>
      </c>
      <c r="K9" s="26">
        <f>IF((Actuals!L6+Actuals!L7+Actuals!L8)=0,"",Actuals!L27/(Actuals!L6+Actuals!L7+Actuals!L8)*DaysInMonth)</f>
        <v>24.454529586315239</v>
      </c>
      <c r="L9" s="26">
        <f>IF((Actuals!M6+Actuals!M7+Actuals!M8)=0,"",Actuals!M27/(Actuals!M6+Actuals!M7+Actuals!M8)*DaysInMonth)</f>
        <v>24.363942712721148</v>
      </c>
      <c r="M9" s="26">
        <f>IF((Actuals!N6+Actuals!N7+Actuals!N8)=0,"",Actuals!N27/(Actuals!N6+Actuals!N7+Actuals!N8)*DaysInMonth)</f>
        <v>25.577812018489986</v>
      </c>
    </row>
    <row r="10" spans="1:13" x14ac:dyDescent="0.35">
      <c r="A10" s="7" t="s">
        <v>94</v>
      </c>
      <c r="B10" s="26">
        <f>IF((Actuals!C10+Actuals!C11+Actuals!C12)=0,"",Actuals!C28/(Actuals!C10+Actuals!C11+Actuals!C12)*DaysInMonth)</f>
        <v>31.821675634127597</v>
      </c>
      <c r="C10" s="26">
        <f>IF((Actuals!D10+Actuals!D11+Actuals!D12)=0,"",Actuals!D28/(Actuals!D10+Actuals!D11+Actuals!D12)*DaysInMonth)</f>
        <v>31.177325581395348</v>
      </c>
      <c r="D10" s="26">
        <f>IF((Actuals!E10+Actuals!E11+Actuals!E12)=0,"",Actuals!E28/(Actuals!E10+Actuals!E11+Actuals!E12)*DaysInMonth)</f>
        <v>28.383579217447082</v>
      </c>
      <c r="E10" s="26">
        <f>IF((Actuals!F10+Actuals!F11+Actuals!F12)=0,"",Actuals!F28/(Actuals!F10+Actuals!F11+Actuals!F12)*DaysInMonth)</f>
        <v>29.906217436609936</v>
      </c>
      <c r="F10" s="26">
        <f>IF((Actuals!G10+Actuals!G11+Actuals!G12)=0,"",Actuals!G28/(Actuals!G10+Actuals!G11+Actuals!G12)*DaysInMonth)</f>
        <v>28.425096030729836</v>
      </c>
      <c r="G10" s="26">
        <f>IF((Actuals!H10+Actuals!H11+Actuals!H12)=0,"",Actuals!H28/(Actuals!H10+Actuals!H11+Actuals!H12)*DaysInMonth)</f>
        <v>33.467006926722568</v>
      </c>
      <c r="H10" s="26">
        <f>IF((Actuals!I10+Actuals!I11+Actuals!I12)=0,"",Actuals!I28/(Actuals!I10+Actuals!I11+Actuals!I12)*DaysInMonth)</f>
        <v>35.058823529411768</v>
      </c>
      <c r="I10" s="26">
        <f>IF((Actuals!J10+Actuals!J11+Actuals!J12)=0,"",Actuals!J28/(Actuals!J10+Actuals!J11+Actuals!J12)*DaysInMonth)</f>
        <v>34.136397331356562</v>
      </c>
      <c r="J10" s="26">
        <f>IF((Actuals!K10+Actuals!K11+Actuals!K12)=0,"",Actuals!K28/(Actuals!K10+Actuals!K11+Actuals!K12)*DaysInMonth)</f>
        <v>32.074198988195612</v>
      </c>
      <c r="K10" s="26">
        <f>IF((Actuals!L10+Actuals!L11+Actuals!L12)=0,"",Actuals!L28/(Actuals!L10+Actuals!L11+Actuals!L12)*DaysInMonth)</f>
        <v>29.029217719132891</v>
      </c>
      <c r="L10" s="26">
        <f>IF((Actuals!M10+Actuals!M11+Actuals!M12)=0,"",Actuals!M28/(Actuals!M10+Actuals!M11+Actuals!M12)*DaysInMonth)</f>
        <v>30.675241157556272</v>
      </c>
      <c r="M10" s="26">
        <f>IF((Actuals!N10+Actuals!N11+Actuals!N12)=0,"",Actuals!N28/(Actuals!N10+Actuals!N11+Actuals!N12)*DaysInMonth)</f>
        <v>30.332922318125771</v>
      </c>
    </row>
    <row r="11" spans="1:13" x14ac:dyDescent="0.35">
      <c r="A11" s="7" t="s">
        <v>95</v>
      </c>
      <c r="B11" s="26">
        <f>IF((Actuals!C10+Actuals!C11+Actuals!C12)=0,"",Actuals!C29/(Actuals!C10+Actuals!C11+Actuals!C12)*DaysInMonth)</f>
        <v>22.252113758647194</v>
      </c>
      <c r="C11" s="26">
        <f>IF((Actuals!D10+Actuals!D11+Actuals!D12)=0,"",Actuals!D29/(Actuals!D10+Actuals!D11+Actuals!D12)*DaysInMonth)</f>
        <v>21.802325581395348</v>
      </c>
      <c r="D11" s="26">
        <f>IF((Actuals!E10+Actuals!E11+Actuals!E12)=0,"",Actuals!E29/(Actuals!E10+Actuals!E11+Actuals!E12)*DaysInMonth)</f>
        <v>19.820397690827456</v>
      </c>
      <c r="E11" s="26">
        <f>IF((Actuals!F10+Actuals!F11+Actuals!F12)=0,"",Actuals!F29/(Actuals!F10+Actuals!F11+Actuals!F12)*DaysInMonth)</f>
        <v>20.944772490448074</v>
      </c>
      <c r="F11" s="26">
        <f>IF((Actuals!G10+Actuals!G11+Actuals!G12)=0,"",Actuals!G29/(Actuals!G10+Actuals!G11+Actuals!G12)*DaysInMonth)</f>
        <v>19.878361075544174</v>
      </c>
      <c r="G11" s="26">
        <f>IF((Actuals!H10+Actuals!H11+Actuals!H12)=0,"",Actuals!H29/(Actuals!H10+Actuals!H11+Actuals!H12)*DaysInMonth)</f>
        <v>23.405030987969376</v>
      </c>
      <c r="H11" s="26">
        <f>IF((Actuals!I10+Actuals!I11+Actuals!I12)=0,"",Actuals!I29/(Actuals!I10+Actuals!I11+Actuals!I12)*DaysInMonth)</f>
        <v>24.470588235294116</v>
      </c>
      <c r="I11" s="26">
        <f>IF((Actuals!J10+Actuals!J11+Actuals!J12)=0,"",Actuals!J29/(Actuals!J10+Actuals!J11+Actuals!J12)*DaysInMonth)</f>
        <v>23.906597479614529</v>
      </c>
      <c r="J11" s="26">
        <f>IF((Actuals!K10+Actuals!K11+Actuals!K12)=0,"",Actuals!K29/(Actuals!K10+Actuals!K11+Actuals!K12)*DaysInMonth)</f>
        <v>22.462057335581786</v>
      </c>
      <c r="K11" s="26">
        <f>IF((Actuals!L10+Actuals!L11+Actuals!L12)=0,"",Actuals!L29/(Actuals!L10+Actuals!L11+Actuals!L12)*DaysInMonth)</f>
        <v>20.358152686145147</v>
      </c>
      <c r="L11" s="26">
        <f>IF((Actuals!M10+Actuals!M11+Actuals!M12)=0,"",Actuals!M29/(Actuals!M10+Actuals!M11+Actuals!M12)*DaysInMonth)</f>
        <v>21.511254019292608</v>
      </c>
      <c r="M11" s="26">
        <f>IF((Actuals!N10+Actuals!N11+Actuals!N12)=0,"",Actuals!N29/(Actuals!N10+Actuals!N11+Actuals!N12)*DaysInMonth)</f>
        <v>21.270036991368681</v>
      </c>
    </row>
    <row r="12" spans="1:13" x14ac:dyDescent="0.35">
      <c r="A12" s="7" t="s">
        <v>96</v>
      </c>
      <c r="B12" s="26">
        <f t="shared" ref="B12:M12" si="0">IF(OR(B9="",B10="",B11=""),"",B9+B10-B11)</f>
        <v>34.891882584585957</v>
      </c>
      <c r="C12" s="26">
        <f t="shared" si="0"/>
        <v>35.596235365361323</v>
      </c>
      <c r="D12" s="26">
        <f t="shared" si="0"/>
        <v>32.45414892373347</v>
      </c>
      <c r="E12" s="26">
        <f t="shared" si="0"/>
        <v>32.736267318178619</v>
      </c>
      <c r="F12" s="26">
        <f t="shared" si="0"/>
        <v>32.563813766785017</v>
      </c>
      <c r="G12" s="26">
        <f t="shared" si="0"/>
        <v>36.662396347696436</v>
      </c>
      <c r="H12" s="26">
        <f t="shared" si="0"/>
        <v>40.06535947712419</v>
      </c>
      <c r="I12" s="26">
        <f t="shared" si="0"/>
        <v>39.007074450342273</v>
      </c>
      <c r="J12" s="26">
        <f t="shared" si="0"/>
        <v>35.13841089018679</v>
      </c>
      <c r="K12" s="26">
        <f t="shared" si="0"/>
        <v>33.125594619302987</v>
      </c>
      <c r="L12" s="26">
        <f t="shared" si="0"/>
        <v>33.527929850984812</v>
      </c>
      <c r="M12" s="26">
        <f t="shared" si="0"/>
        <v>34.640697345247077</v>
      </c>
    </row>
    <row r="13" spans="1:13" x14ac:dyDescent="0.35">
      <c r="A13" s="7" t="s">
        <v>97</v>
      </c>
      <c r="B13" s="18">
        <f>Actuals!C26</f>
        <v>562000</v>
      </c>
      <c r="C13" s="18">
        <f>Actuals!D26</f>
        <v>581000</v>
      </c>
      <c r="D13" s="18">
        <f>Actuals!E26</f>
        <v>600000</v>
      </c>
      <c r="E13" s="18">
        <f>Actuals!F26</f>
        <v>583000</v>
      </c>
      <c r="F13" s="18">
        <f>Actuals!G26</f>
        <v>603000</v>
      </c>
      <c r="G13" s="18">
        <f>Actuals!H26</f>
        <v>622000</v>
      </c>
      <c r="H13" s="18">
        <f>Actuals!I26</f>
        <v>605000</v>
      </c>
      <c r="I13" s="18">
        <f>Actuals!J26</f>
        <v>625000</v>
      </c>
      <c r="J13" s="18">
        <f>Actuals!K26</f>
        <v>645000</v>
      </c>
      <c r="K13" s="18">
        <f>Actuals!L26</f>
        <v>626000</v>
      </c>
      <c r="L13" s="18">
        <f>Actuals!M26</f>
        <v>647000</v>
      </c>
      <c r="M13" s="18">
        <f>Actuals!N26</f>
        <v>667000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A2E4A"/>
  </sheetPr>
  <dimension ref="A1:D17"/>
  <sheetViews>
    <sheetView showGridLines="0" workbookViewId="0"/>
  </sheetViews>
  <sheetFormatPr defaultRowHeight="14.5" x14ac:dyDescent="0.35"/>
  <cols>
    <col min="1" max="1" width="36" customWidth="1"/>
    <col min="2" max="4" width="15" customWidth="1"/>
  </cols>
  <sheetData>
    <row r="1" spans="1:4" ht="20" x14ac:dyDescent="0.4">
      <c r="A1" s="6" t="str">
        <f>Settings!C4&amp;": cash outlook, next three months"</f>
        <v>Example Trading LLC (fictitious): cash outlook, next three months</v>
      </c>
      <c r="B1" s="1"/>
      <c r="C1" s="1"/>
      <c r="D1" s="1"/>
    </row>
    <row r="2" spans="1:4" x14ac:dyDescent="0.35">
      <c r="A2" s="3" t="s">
        <v>98</v>
      </c>
      <c r="B2" s="1"/>
      <c r="C2" s="1"/>
      <c r="D2" s="1"/>
    </row>
    <row r="3" spans="1:4" x14ac:dyDescent="0.35">
      <c r="A3" s="1"/>
      <c r="B3" s="1"/>
      <c r="C3" s="1"/>
      <c r="D3" s="1"/>
    </row>
    <row r="4" spans="1:4" x14ac:dyDescent="0.35">
      <c r="A4" s="10"/>
      <c r="B4" s="11" t="s">
        <v>99</v>
      </c>
      <c r="C4" s="11" t="s">
        <v>100</v>
      </c>
      <c r="D4" s="11" t="s">
        <v>101</v>
      </c>
    </row>
    <row r="5" spans="1:4" x14ac:dyDescent="0.35">
      <c r="A5" s="1" t="s">
        <v>102</v>
      </c>
      <c r="B5" s="17">
        <f>INDEX(Actuals!$C$26:$N$26,RepMonth)</f>
        <v>645000</v>
      </c>
      <c r="C5" s="18">
        <f>B16</f>
        <v>709000</v>
      </c>
      <c r="D5" s="18">
        <f>C16</f>
        <v>778000</v>
      </c>
    </row>
    <row r="6" spans="1:4" x14ac:dyDescent="0.35">
      <c r="A6" s="1" t="s">
        <v>103</v>
      </c>
      <c r="B6" s="15">
        <v>548000</v>
      </c>
      <c r="C6" s="15">
        <v>559000</v>
      </c>
      <c r="D6" s="15">
        <v>570000</v>
      </c>
    </row>
    <row r="7" spans="1:4" x14ac:dyDescent="0.35">
      <c r="A7" s="1" t="s">
        <v>104</v>
      </c>
      <c r="B7" s="15">
        <v>5000</v>
      </c>
      <c r="C7" s="15">
        <v>5000</v>
      </c>
      <c r="D7" s="15">
        <v>5000</v>
      </c>
    </row>
    <row r="8" spans="1:4" x14ac:dyDescent="0.35">
      <c r="A8" s="1" t="s">
        <v>105</v>
      </c>
      <c r="B8" s="15">
        <v>300000</v>
      </c>
      <c r="C8" s="15">
        <v>304000</v>
      </c>
      <c r="D8" s="15">
        <v>309000</v>
      </c>
    </row>
    <row r="9" spans="1:4" x14ac:dyDescent="0.35">
      <c r="A9" s="1" t="s">
        <v>57</v>
      </c>
      <c r="B9" s="15">
        <v>94000</v>
      </c>
      <c r="C9" s="15">
        <v>95000</v>
      </c>
      <c r="D9" s="15">
        <v>97000</v>
      </c>
    </row>
    <row r="10" spans="1:4" x14ac:dyDescent="0.35">
      <c r="A10" s="1" t="s">
        <v>58</v>
      </c>
      <c r="B10" s="15">
        <v>21000</v>
      </c>
      <c r="C10" s="15">
        <v>21000</v>
      </c>
      <c r="D10" s="15">
        <v>22000</v>
      </c>
    </row>
    <row r="11" spans="1:4" x14ac:dyDescent="0.35">
      <c r="A11" s="1" t="s">
        <v>106</v>
      </c>
      <c r="B11" s="15">
        <v>37000</v>
      </c>
      <c r="C11" s="15">
        <v>38000</v>
      </c>
      <c r="D11" s="15">
        <v>38000</v>
      </c>
    </row>
    <row r="12" spans="1:4" x14ac:dyDescent="0.35">
      <c r="A12" s="1" t="s">
        <v>107</v>
      </c>
      <c r="B12" s="15">
        <v>22000</v>
      </c>
      <c r="C12" s="15">
        <v>22000</v>
      </c>
      <c r="D12" s="15">
        <v>23000</v>
      </c>
    </row>
    <row r="13" spans="1:4" x14ac:dyDescent="0.35">
      <c r="A13" s="1" t="s">
        <v>108</v>
      </c>
      <c r="B13" s="15">
        <v>0</v>
      </c>
      <c r="C13" s="15">
        <v>0</v>
      </c>
      <c r="D13" s="15">
        <v>20000</v>
      </c>
    </row>
    <row r="14" spans="1:4" x14ac:dyDescent="0.35">
      <c r="A14" s="1" t="s">
        <v>109</v>
      </c>
      <c r="B14" s="15">
        <v>15000</v>
      </c>
      <c r="C14" s="15">
        <v>15000</v>
      </c>
      <c r="D14" s="15">
        <v>15000</v>
      </c>
    </row>
    <row r="15" spans="1:4" x14ac:dyDescent="0.35">
      <c r="A15" s="7" t="s">
        <v>110</v>
      </c>
      <c r="B15" s="16">
        <f>SUM(B6:B7)-SUM(B8:B14)</f>
        <v>64000</v>
      </c>
      <c r="C15" s="16">
        <f>SUM(C6:C7)-SUM(C8:C14)</f>
        <v>69000</v>
      </c>
      <c r="D15" s="16">
        <f>SUM(D6:D7)-SUM(D8:D14)</f>
        <v>51000</v>
      </c>
    </row>
    <row r="16" spans="1:4" x14ac:dyDescent="0.35">
      <c r="A16" s="7" t="s">
        <v>111</v>
      </c>
      <c r="B16" s="21">
        <f>B5+B15</f>
        <v>709000</v>
      </c>
      <c r="C16" s="21">
        <f>C5+C15</f>
        <v>778000</v>
      </c>
      <c r="D16" s="21">
        <f>D5+D15</f>
        <v>829000</v>
      </c>
    </row>
    <row r="17" spans="1:4" x14ac:dyDescent="0.35">
      <c r="A17" s="1" t="s">
        <v>112</v>
      </c>
      <c r="B17" s="1" t="str">
        <f>IF(B16&gt;=MinCash,"Yes","Below buffer")</f>
        <v>Yes</v>
      </c>
      <c r="C17" s="1" t="str">
        <f>IF(C16&gt;=MinCash,"Yes","Below buffer")</f>
        <v>Yes</v>
      </c>
      <c r="D17" s="1" t="str">
        <f>IF(D16&gt;=MinCash,"Yes","Below buffer")</f>
        <v>Yes</v>
      </c>
    </row>
  </sheetData>
  <conditionalFormatting sqref="B17:D17">
    <cfRule type="cellIs" dxfId="0" priority="1" operator="equal">
      <formula>"Below buffer"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A2E4A"/>
  </sheetPr>
  <dimension ref="A1:C9"/>
  <sheetViews>
    <sheetView showGridLines="0" workbookViewId="0"/>
  </sheetViews>
  <sheetFormatPr defaultRowHeight="14.5" x14ac:dyDescent="0.35"/>
  <cols>
    <col min="1" max="1" width="3" customWidth="1"/>
    <col min="2" max="2" width="30" customWidth="1"/>
    <col min="3" max="3" width="90" customWidth="1"/>
  </cols>
  <sheetData>
    <row r="1" spans="1:3" x14ac:dyDescent="0.35">
      <c r="A1" s="1"/>
      <c r="B1" s="1"/>
      <c r="C1" s="1"/>
    </row>
    <row r="2" spans="1:3" ht="20" x14ac:dyDescent="0.4">
      <c r="A2" s="1"/>
      <c r="B2" s="6" t="str">
        <f>Settings!C4&amp;": management commentary, "&amp;Settings!C6&amp;" "&amp;Settings!C7</f>
        <v>Example Trading LLC (fictitious): management commentary, Sep 2026</v>
      </c>
      <c r="C2" s="1"/>
    </row>
    <row r="3" spans="1:3" x14ac:dyDescent="0.35">
      <c r="A3" s="1"/>
      <c r="B3" s="1"/>
      <c r="C3" s="1"/>
    </row>
    <row r="4" spans="1:3" ht="48" customHeight="1" x14ac:dyDescent="0.35">
      <c r="A4" s="1"/>
      <c r="B4" s="4" t="s">
        <v>113</v>
      </c>
      <c r="C4" s="27" t="s">
        <v>114</v>
      </c>
    </row>
    <row r="5" spans="1:3" ht="48" customHeight="1" x14ac:dyDescent="0.35">
      <c r="A5" s="1"/>
      <c r="B5" s="4" t="s">
        <v>48</v>
      </c>
      <c r="C5" s="27" t="s">
        <v>115</v>
      </c>
    </row>
    <row r="6" spans="1:3" ht="48" customHeight="1" x14ac:dyDescent="0.35">
      <c r="A6" s="1"/>
      <c r="B6" s="4" t="s">
        <v>116</v>
      </c>
      <c r="C6" s="27" t="s">
        <v>117</v>
      </c>
    </row>
    <row r="7" spans="1:3" ht="48" customHeight="1" x14ac:dyDescent="0.35">
      <c r="A7" s="1"/>
      <c r="B7" s="4" t="s">
        <v>118</v>
      </c>
      <c r="C7" s="27" t="s">
        <v>119</v>
      </c>
    </row>
    <row r="8" spans="1:3" ht="48" customHeight="1" x14ac:dyDescent="0.35">
      <c r="A8" s="1"/>
      <c r="B8" s="4" t="s">
        <v>120</v>
      </c>
      <c r="C8" s="27" t="s">
        <v>121</v>
      </c>
    </row>
    <row r="9" spans="1:3" ht="48" customHeight="1" x14ac:dyDescent="0.35">
      <c r="A9" s="1"/>
      <c r="B9" s="4" t="s">
        <v>122</v>
      </c>
      <c r="C9" s="27" t="s">
        <v>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Read me</vt:lpstr>
      <vt:lpstr>Settings</vt:lpstr>
      <vt:lpstr>Actuals</vt:lpstr>
      <vt:lpstr>Budget</vt:lpstr>
      <vt:lpstr>P&amp;L vs Budget</vt:lpstr>
      <vt:lpstr>KPIs</vt:lpstr>
      <vt:lpstr>Cash outlook</vt:lpstr>
      <vt:lpstr>Commentary</vt:lpstr>
      <vt:lpstr>DaysInMonth</vt:lpstr>
      <vt:lpstr>MinCash</vt:lpstr>
      <vt:lpstr>RepMonth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MIS pack: sample template</dc:title>
  <dc:creator>Accuminds Consulting FZCO</dc:creator>
  <cp:lastModifiedBy>Hiten Patel</cp:lastModifiedBy>
  <dcterms:created xsi:type="dcterms:W3CDTF">2026-10-22T11:59:25Z</dcterms:created>
  <dcterms:modified xsi:type="dcterms:W3CDTF">2026-10-22T11:59:41Z</dcterms:modified>
</cp:coreProperties>
</file>